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413" documentId="8_{059D5CD2-C591-4D8B-83ED-F3AD1D28F520}" xr6:coauthVersionLast="47" xr6:coauthVersionMax="47" xr10:uidLastSave="{0DCA615C-1ADB-4EBD-A194-B5A10489BC19}"/>
  <bookViews>
    <workbookView xWindow="1320" yWindow="-120" windowWidth="27600" windowHeight="16440" firstSheet="2" activeTab="5" xr2:uid="{A448386E-3215-465A-8ADF-5E3EECDEA1B2}"/>
  </bookViews>
  <sheets>
    <sheet name="R0030_LFP" sheetId="3" r:id="rId1"/>
    <sheet name="R0030_LFP_100%" sheetId="5" r:id="rId2"/>
    <sheet name="R0030_LFP_Averages" sheetId="6" r:id="rId3"/>
    <sheet name="R0030_LFP_Liberation" sheetId="20" r:id="rId4"/>
    <sheet name="R0030_LFP_Total" sheetId="15" r:id="rId5"/>
    <sheet name="R0030_LFP_Inc_Electrolyte" sheetId="35" r:id="rId6"/>
    <sheet name="R0030_LFP_Exc_Electrolyte" sheetId="37" r:id="rId7"/>
    <sheet name="R0030_LFP_Sankey" sheetId="36" r:id="rId8"/>
    <sheet name="R0031_Gen2" sheetId="1" r:id="rId9"/>
    <sheet name="R0031_Gen2_100%" sheetId="7" r:id="rId10"/>
    <sheet name="R0031_Gen2_Averages" sheetId="8" r:id="rId11"/>
    <sheet name="R0031_Gen2_Liberation" sheetId="21" r:id="rId12"/>
    <sheet name="R0031_Gen2_Total" sheetId="11" r:id="rId13"/>
    <sheet name="R0031_Gen2_Exc_Electrolyte" sheetId="31" r:id="rId14"/>
    <sheet name="R0031_Gen2_Inc_Electrolyte" sheetId="25" r:id="rId15"/>
    <sheet name="R0025_Gen1_Liberation" sheetId="22" r:id="rId16"/>
    <sheet name="R0031_Gen2_Sankey" sheetId="26" r:id="rId17"/>
    <sheet name="R0025_Gen1" sheetId="4" r:id="rId18"/>
    <sheet name="R0025_Gen1_100%" sheetId="9" r:id="rId19"/>
    <sheet name="R0025_Gen1_Averages" sheetId="10" r:id="rId20"/>
    <sheet name="R0025_Gen1_Total" sheetId="13" r:id="rId21"/>
    <sheet name="R0025_Gen1_Inc_Electrolyte" sheetId="38" r:id="rId22"/>
    <sheet name="R0025_Gen1_Errors_Simple" sheetId="32" r:id="rId23"/>
    <sheet name="R0025_Gen1_Exc_Electrolyte" sheetId="39" r:id="rId24"/>
    <sheet name="R0025_Gen1_Sankey" sheetId="40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6" l="1"/>
  <c r="D42" i="36"/>
  <c r="D43" i="36"/>
  <c r="D44" i="36"/>
  <c r="B41" i="36"/>
  <c r="C41" i="36"/>
  <c r="B42" i="36"/>
  <c r="C42" i="36"/>
  <c r="B43" i="36"/>
  <c r="C43" i="36"/>
  <c r="B44" i="36"/>
  <c r="C44" i="36"/>
  <c r="O70" i="32" l="1"/>
  <c r="N70" i="32"/>
  <c r="M70" i="32"/>
  <c r="O69" i="32"/>
  <c r="N69" i="32"/>
  <c r="M69" i="32"/>
  <c r="O68" i="32"/>
  <c r="N68" i="32"/>
  <c r="M68" i="32"/>
  <c r="O67" i="32"/>
  <c r="N67" i="32"/>
  <c r="M67" i="32"/>
  <c r="O66" i="32"/>
  <c r="N66" i="32"/>
  <c r="M66" i="32"/>
  <c r="O65" i="32"/>
  <c r="N65" i="32"/>
  <c r="M65" i="32"/>
  <c r="L70" i="32"/>
  <c r="K70" i="32"/>
  <c r="J70" i="32"/>
  <c r="L69" i="32"/>
  <c r="K69" i="32"/>
  <c r="J69" i="32"/>
  <c r="L68" i="32"/>
  <c r="K68" i="32"/>
  <c r="J68" i="32"/>
  <c r="L67" i="32"/>
  <c r="K67" i="32"/>
  <c r="J67" i="32"/>
  <c r="L66" i="32"/>
  <c r="K66" i="32"/>
  <c r="J66" i="32"/>
  <c r="L65" i="32"/>
  <c r="K65" i="32"/>
  <c r="J65" i="32"/>
  <c r="L78" i="38"/>
  <c r="K78" i="38"/>
  <c r="J78" i="38"/>
  <c r="L77" i="38"/>
  <c r="K77" i="38"/>
  <c r="J77" i="38"/>
  <c r="L76" i="38"/>
  <c r="K76" i="38"/>
  <c r="J76" i="38"/>
  <c r="L75" i="38"/>
  <c r="K75" i="38"/>
  <c r="J75" i="38"/>
  <c r="L74" i="38"/>
  <c r="K74" i="38"/>
  <c r="J74" i="38"/>
  <c r="L73" i="38"/>
  <c r="K73" i="38"/>
  <c r="J73" i="38"/>
  <c r="L70" i="38"/>
  <c r="K70" i="38"/>
  <c r="J70" i="38"/>
  <c r="L69" i="38"/>
  <c r="K69" i="38"/>
  <c r="J69" i="38"/>
  <c r="L68" i="38"/>
  <c r="K68" i="38"/>
  <c r="J68" i="38"/>
  <c r="L67" i="38"/>
  <c r="K67" i="38"/>
  <c r="J67" i="38"/>
  <c r="L66" i="38"/>
  <c r="K66" i="38"/>
  <c r="J66" i="38"/>
  <c r="L65" i="38"/>
  <c r="K65" i="38"/>
  <c r="J65" i="38"/>
  <c r="L78" i="35"/>
  <c r="K78" i="35"/>
  <c r="J78" i="35"/>
  <c r="L77" i="35"/>
  <c r="K77" i="35"/>
  <c r="J77" i="35"/>
  <c r="L76" i="35"/>
  <c r="K76" i="35"/>
  <c r="J76" i="35"/>
  <c r="L75" i="35"/>
  <c r="K75" i="35"/>
  <c r="J75" i="35"/>
  <c r="L74" i="35"/>
  <c r="K74" i="35"/>
  <c r="J74" i="35"/>
  <c r="L73" i="35"/>
  <c r="K73" i="35"/>
  <c r="J73" i="35"/>
  <c r="L70" i="35"/>
  <c r="K70" i="35"/>
  <c r="J70" i="35"/>
  <c r="L69" i="35"/>
  <c r="K69" i="35"/>
  <c r="J69" i="35"/>
  <c r="L68" i="35"/>
  <c r="K68" i="35"/>
  <c r="J68" i="35"/>
  <c r="L67" i="35"/>
  <c r="K67" i="35"/>
  <c r="J67" i="35"/>
  <c r="L66" i="35"/>
  <c r="K66" i="35"/>
  <c r="J66" i="35"/>
  <c r="L65" i="35"/>
  <c r="K65" i="35"/>
  <c r="J65" i="35"/>
  <c r="L78" i="25"/>
  <c r="L77" i="25"/>
  <c r="L76" i="25"/>
  <c r="L75" i="25"/>
  <c r="L74" i="25"/>
  <c r="L73" i="25"/>
  <c r="K78" i="25"/>
  <c r="K77" i="25"/>
  <c r="K76" i="25"/>
  <c r="K75" i="25"/>
  <c r="K74" i="25"/>
  <c r="K73" i="25"/>
  <c r="J78" i="25"/>
  <c r="J77" i="25"/>
  <c r="J76" i="25"/>
  <c r="J75" i="25"/>
  <c r="J74" i="25"/>
  <c r="J73" i="25"/>
  <c r="L70" i="25"/>
  <c r="L69" i="25"/>
  <c r="L68" i="25"/>
  <c r="L67" i="25"/>
  <c r="L66" i="25"/>
  <c r="L65" i="25"/>
  <c r="K70" i="25"/>
  <c r="K69" i="25"/>
  <c r="K68" i="25"/>
  <c r="K67" i="25"/>
  <c r="K66" i="25"/>
  <c r="K65" i="25"/>
  <c r="J66" i="25"/>
  <c r="J67" i="25"/>
  <c r="J68" i="25"/>
  <c r="J69" i="25"/>
  <c r="J70" i="25"/>
  <c r="J65" i="25"/>
  <c r="C27" i="32"/>
  <c r="A88" i="39"/>
  <c r="A87" i="39"/>
  <c r="O86" i="39"/>
  <c r="A86" i="39"/>
  <c r="O85" i="39"/>
  <c r="O88" i="39" s="1"/>
  <c r="A85" i="39"/>
  <c r="A84" i="39"/>
  <c r="A83" i="39"/>
  <c r="G86" i="39"/>
  <c r="F86" i="39"/>
  <c r="G85" i="39"/>
  <c r="F85" i="39"/>
  <c r="O84" i="39"/>
  <c r="G84" i="39"/>
  <c r="F84" i="39"/>
  <c r="O83" i="39"/>
  <c r="G83" i="39"/>
  <c r="F83" i="39"/>
  <c r="F91" i="39" s="1"/>
  <c r="O82" i="39"/>
  <c r="L41" i="40"/>
  <c r="L74" i="40" s="1"/>
  <c r="L40" i="40"/>
  <c r="L39" i="40"/>
  <c r="L38" i="40"/>
  <c r="L37" i="40"/>
  <c r="L35" i="40"/>
  <c r="L34" i="40"/>
  <c r="L33" i="40"/>
  <c r="L32" i="40"/>
  <c r="L31" i="40"/>
  <c r="L29" i="40"/>
  <c r="L28" i="40"/>
  <c r="L61" i="40" s="1"/>
  <c r="L27" i="40"/>
  <c r="L26" i="40"/>
  <c r="C26" i="40"/>
  <c r="L25" i="40"/>
  <c r="L43" i="40" s="1"/>
  <c r="C25" i="40"/>
  <c r="C24" i="40"/>
  <c r="L23" i="40"/>
  <c r="C23" i="40"/>
  <c r="L22" i="40"/>
  <c r="C22" i="40"/>
  <c r="C21" i="40"/>
  <c r="C20" i="40"/>
  <c r="D18" i="40"/>
  <c r="C18" i="40"/>
  <c r="D17" i="40"/>
  <c r="C17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A18" i="40" s="1"/>
  <c r="B5" i="40"/>
  <c r="A5" i="40"/>
  <c r="L20" i="40"/>
  <c r="L19" i="40"/>
  <c r="L84" i="40" a="1"/>
  <c r="J75" i="40"/>
  <c r="J74" i="40"/>
  <c r="J73" i="40"/>
  <c r="J72" i="40"/>
  <c r="J71" i="40"/>
  <c r="J70" i="40"/>
  <c r="J66" i="40"/>
  <c r="J65" i="40"/>
  <c r="J64" i="40"/>
  <c r="J63" i="40"/>
  <c r="J62" i="40"/>
  <c r="J61" i="40"/>
  <c r="J57" i="40"/>
  <c r="J56" i="40"/>
  <c r="J55" i="40"/>
  <c r="J54" i="40"/>
  <c r="J53" i="40"/>
  <c r="J52" i="40"/>
  <c r="J48" i="40"/>
  <c r="L47" i="40"/>
  <c r="J47" i="40"/>
  <c r="J46" i="40"/>
  <c r="J45" i="40"/>
  <c r="J44" i="40"/>
  <c r="J43" i="40"/>
  <c r="A88" i="38"/>
  <c r="A87" i="38"/>
  <c r="A86" i="38"/>
  <c r="A85" i="38"/>
  <c r="A84" i="38"/>
  <c r="A83" i="38"/>
  <c r="M22" i="39"/>
  <c r="L22" i="39"/>
  <c r="K22" i="39"/>
  <c r="J22" i="39"/>
  <c r="I22" i="39"/>
  <c r="H22" i="39"/>
  <c r="G22" i="39"/>
  <c r="F22" i="39"/>
  <c r="O22" i="39" s="1"/>
  <c r="E22" i="39"/>
  <c r="D22" i="39"/>
  <c r="C22" i="39"/>
  <c r="B22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O21" i="39" s="1"/>
  <c r="M20" i="39"/>
  <c r="L20" i="39"/>
  <c r="K20" i="39"/>
  <c r="J20" i="39"/>
  <c r="I20" i="39"/>
  <c r="H20" i="39"/>
  <c r="G20" i="39"/>
  <c r="F20" i="39"/>
  <c r="O20" i="39" s="1"/>
  <c r="E20" i="39"/>
  <c r="D20" i="39"/>
  <c r="C20" i="39"/>
  <c r="B20" i="39"/>
  <c r="M19" i="39"/>
  <c r="L19" i="39"/>
  <c r="K19" i="39"/>
  <c r="J19" i="39"/>
  <c r="I19" i="39"/>
  <c r="H19" i="39"/>
  <c r="G19" i="39"/>
  <c r="F19" i="39"/>
  <c r="E19" i="39"/>
  <c r="D19" i="39"/>
  <c r="C19" i="39"/>
  <c r="B19" i="39"/>
  <c r="M18" i="39"/>
  <c r="L18" i="39"/>
  <c r="K18" i="39"/>
  <c r="J18" i="39"/>
  <c r="I18" i="39"/>
  <c r="H18" i="39"/>
  <c r="G18" i="39"/>
  <c r="F18" i="39"/>
  <c r="O18" i="39" s="1"/>
  <c r="E18" i="39"/>
  <c r="D18" i="39"/>
  <c r="C18" i="39"/>
  <c r="B18" i="39"/>
  <c r="M17" i="39"/>
  <c r="L17" i="39"/>
  <c r="K17" i="39"/>
  <c r="J17" i="39"/>
  <c r="I17" i="39"/>
  <c r="H17" i="39"/>
  <c r="G17" i="39"/>
  <c r="F17" i="39"/>
  <c r="E17" i="39"/>
  <c r="D17" i="39"/>
  <c r="C17" i="39"/>
  <c r="B17" i="39"/>
  <c r="C28" i="39" s="1"/>
  <c r="B57" i="39" s="1"/>
  <c r="M16" i="39"/>
  <c r="L16" i="39"/>
  <c r="K16" i="39"/>
  <c r="J16" i="39"/>
  <c r="I16" i="39"/>
  <c r="H16" i="39"/>
  <c r="G16" i="39"/>
  <c r="F16" i="39"/>
  <c r="O16" i="39" s="1"/>
  <c r="E16" i="39"/>
  <c r="D16" i="39"/>
  <c r="C16" i="39"/>
  <c r="B16" i="39"/>
  <c r="M15" i="39"/>
  <c r="L15" i="39"/>
  <c r="K15" i="39"/>
  <c r="J15" i="39"/>
  <c r="I15" i="39"/>
  <c r="H15" i="39"/>
  <c r="G15" i="39"/>
  <c r="F15" i="39"/>
  <c r="E15" i="39"/>
  <c r="D15" i="39"/>
  <c r="C15" i="39"/>
  <c r="B15" i="39"/>
  <c r="O15" i="39" s="1"/>
  <c r="M14" i="39"/>
  <c r="L14" i="39"/>
  <c r="K14" i="39"/>
  <c r="J14" i="39"/>
  <c r="I14" i="39"/>
  <c r="H14" i="39"/>
  <c r="G14" i="39"/>
  <c r="F14" i="39"/>
  <c r="O14" i="39" s="1"/>
  <c r="E14" i="39"/>
  <c r="D14" i="39"/>
  <c r="C14" i="39"/>
  <c r="B14" i="39"/>
  <c r="M13" i="39"/>
  <c r="L13" i="39"/>
  <c r="K13" i="39"/>
  <c r="J13" i="39"/>
  <c r="K33" i="39" s="1"/>
  <c r="F62" i="39" s="1"/>
  <c r="I13" i="39"/>
  <c r="H13" i="39"/>
  <c r="G13" i="39"/>
  <c r="F13" i="39"/>
  <c r="E13" i="39"/>
  <c r="D13" i="39"/>
  <c r="C13" i="39"/>
  <c r="B13" i="39"/>
  <c r="C33" i="39" s="1"/>
  <c r="B62" i="39" s="1"/>
  <c r="M12" i="39"/>
  <c r="L12" i="39"/>
  <c r="K12" i="39"/>
  <c r="J12" i="39"/>
  <c r="I12" i="39"/>
  <c r="H12" i="39"/>
  <c r="G12" i="39"/>
  <c r="F12" i="39"/>
  <c r="E12" i="39"/>
  <c r="D12" i="39"/>
  <c r="C12" i="39"/>
  <c r="B12" i="39"/>
  <c r="M11" i="39"/>
  <c r="L11" i="39"/>
  <c r="K11" i="39"/>
  <c r="J11" i="39"/>
  <c r="K27" i="39" s="1"/>
  <c r="F56" i="39" s="1"/>
  <c r="I11" i="39"/>
  <c r="H11" i="39"/>
  <c r="G11" i="39"/>
  <c r="F11" i="39"/>
  <c r="E11" i="39"/>
  <c r="D11" i="39"/>
  <c r="C11" i="39"/>
  <c r="B11" i="39"/>
  <c r="C27" i="39" s="1"/>
  <c r="B56" i="39" s="1"/>
  <c r="M10" i="39"/>
  <c r="L10" i="39"/>
  <c r="K10" i="39"/>
  <c r="J10" i="39"/>
  <c r="I10" i="39"/>
  <c r="H10" i="39"/>
  <c r="G10" i="39"/>
  <c r="F10" i="39"/>
  <c r="O10" i="39" s="1"/>
  <c r="E10" i="39"/>
  <c r="D10" i="39"/>
  <c r="C10" i="39"/>
  <c r="B10" i="39"/>
  <c r="M9" i="39"/>
  <c r="L9" i="39"/>
  <c r="K9" i="39"/>
  <c r="J9" i="39"/>
  <c r="I9" i="39"/>
  <c r="H9" i="39"/>
  <c r="G9" i="39"/>
  <c r="F9" i="39"/>
  <c r="E9" i="39"/>
  <c r="D9" i="39"/>
  <c r="C9" i="39"/>
  <c r="B9" i="39"/>
  <c r="M8" i="39"/>
  <c r="L8" i="39"/>
  <c r="K8" i="39"/>
  <c r="J8" i="39"/>
  <c r="I8" i="39"/>
  <c r="H8" i="39"/>
  <c r="G8" i="39"/>
  <c r="F8" i="39"/>
  <c r="E8" i="39"/>
  <c r="D8" i="39"/>
  <c r="C8" i="39"/>
  <c r="B8" i="39"/>
  <c r="M7" i="39"/>
  <c r="L7" i="39"/>
  <c r="K7" i="39"/>
  <c r="J7" i="39"/>
  <c r="I7" i="39"/>
  <c r="H7" i="39"/>
  <c r="G7" i="39"/>
  <c r="F7" i="39"/>
  <c r="E7" i="39"/>
  <c r="D7" i="39"/>
  <c r="C7" i="39"/>
  <c r="B7" i="39"/>
  <c r="O7" i="39" s="1"/>
  <c r="M6" i="39"/>
  <c r="L6" i="39"/>
  <c r="K6" i="39"/>
  <c r="J6" i="39"/>
  <c r="I6" i="39"/>
  <c r="H6" i="39"/>
  <c r="G6" i="39"/>
  <c r="F6" i="39"/>
  <c r="O6" i="39" s="1"/>
  <c r="E6" i="39"/>
  <c r="D6" i="39"/>
  <c r="C6" i="39"/>
  <c r="B6" i="39"/>
  <c r="M5" i="39"/>
  <c r="L5" i="39"/>
  <c r="K5" i="39"/>
  <c r="J5" i="39"/>
  <c r="I5" i="39"/>
  <c r="H5" i="39"/>
  <c r="G5" i="39"/>
  <c r="F5" i="39"/>
  <c r="E5" i="39"/>
  <c r="D5" i="39"/>
  <c r="C5" i="39"/>
  <c r="B5" i="39"/>
  <c r="C32" i="39" s="1"/>
  <c r="B61" i="39" s="1"/>
  <c r="M4" i="39"/>
  <c r="L4" i="39"/>
  <c r="K4" i="39"/>
  <c r="J4" i="39"/>
  <c r="I4" i="39"/>
  <c r="H4" i="39"/>
  <c r="G4" i="39"/>
  <c r="F4" i="39"/>
  <c r="O4" i="39" s="1"/>
  <c r="E4" i="39"/>
  <c r="D4" i="39"/>
  <c r="C4" i="39"/>
  <c r="B4" i="39"/>
  <c r="M3" i="39"/>
  <c r="L3" i="39"/>
  <c r="K3" i="39"/>
  <c r="J3" i="39"/>
  <c r="I3" i="39"/>
  <c r="H3" i="39"/>
  <c r="G3" i="39"/>
  <c r="F3" i="39"/>
  <c r="E3" i="39"/>
  <c r="D3" i="39"/>
  <c r="C3" i="39"/>
  <c r="B3" i="39"/>
  <c r="O3" i="39" s="1"/>
  <c r="A62" i="39"/>
  <c r="A61" i="39"/>
  <c r="A60" i="39"/>
  <c r="E59" i="39"/>
  <c r="A57" i="39"/>
  <c r="A56" i="39"/>
  <c r="A55" i="39"/>
  <c r="G54" i="39"/>
  <c r="A52" i="39"/>
  <c r="A51" i="39"/>
  <c r="A50" i="39"/>
  <c r="G49" i="39"/>
  <c r="F49" i="39"/>
  <c r="E49" i="39"/>
  <c r="D49" i="39"/>
  <c r="C49" i="39"/>
  <c r="B49" i="39"/>
  <c r="A47" i="39"/>
  <c r="A46" i="39"/>
  <c r="A45" i="39"/>
  <c r="G44" i="39"/>
  <c r="F44" i="39"/>
  <c r="E44" i="39"/>
  <c r="D44" i="39"/>
  <c r="C44" i="39"/>
  <c r="B44" i="39"/>
  <c r="L37" i="39"/>
  <c r="T36" i="39"/>
  <c r="M30" i="39"/>
  <c r="G59" i="39" s="1"/>
  <c r="K30" i="39"/>
  <c r="F59" i="39" s="1"/>
  <c r="I30" i="39"/>
  <c r="G30" i="39"/>
  <c r="D59" i="39" s="1"/>
  <c r="E30" i="39"/>
  <c r="C59" i="39" s="1"/>
  <c r="C30" i="39"/>
  <c r="B59" i="39" s="1"/>
  <c r="I28" i="39"/>
  <c r="E57" i="39" s="1"/>
  <c r="M25" i="39"/>
  <c r="K25" i="39"/>
  <c r="F54" i="39" s="1"/>
  <c r="I25" i="39"/>
  <c r="E54" i="39" s="1"/>
  <c r="G25" i="39"/>
  <c r="D54" i="39" s="1"/>
  <c r="E25" i="39"/>
  <c r="C54" i="39" s="1"/>
  <c r="C25" i="39"/>
  <c r="B54" i="39" s="1"/>
  <c r="P22" i="39"/>
  <c r="P21" i="39"/>
  <c r="T49" i="39"/>
  <c r="T50" i="39" s="1"/>
  <c r="T40" i="39"/>
  <c r="P19" i="39"/>
  <c r="P18" i="39"/>
  <c r="P17" i="39"/>
  <c r="M28" i="39"/>
  <c r="G57" i="39" s="1"/>
  <c r="K28" i="39"/>
  <c r="F57" i="39" s="1"/>
  <c r="G28" i="39"/>
  <c r="D57" i="39" s="1"/>
  <c r="E28" i="39"/>
  <c r="C57" i="39" s="1"/>
  <c r="P16" i="39"/>
  <c r="P15" i="39"/>
  <c r="P14" i="39"/>
  <c r="P13" i="39"/>
  <c r="U45" i="39"/>
  <c r="U37" i="39"/>
  <c r="M27" i="39"/>
  <c r="G56" i="39" s="1"/>
  <c r="I27" i="39"/>
  <c r="E56" i="39" s="1"/>
  <c r="O11" i="39"/>
  <c r="E27" i="39"/>
  <c r="C56" i="39" s="1"/>
  <c r="P10" i="39"/>
  <c r="P9" i="39"/>
  <c r="T54" i="39"/>
  <c r="U57" i="39"/>
  <c r="U58" i="39" s="1"/>
  <c r="I31" i="39"/>
  <c r="E60" i="39" s="1"/>
  <c r="E31" i="39"/>
  <c r="C60" i="39" s="1"/>
  <c r="P8" i="39"/>
  <c r="P7" i="39"/>
  <c r="M33" i="39"/>
  <c r="G62" i="39" s="1"/>
  <c r="I33" i="39"/>
  <c r="E62" i="39" s="1"/>
  <c r="P6" i="39"/>
  <c r="E33" i="39"/>
  <c r="C62" i="39" s="1"/>
  <c r="P5" i="39"/>
  <c r="T45" i="39"/>
  <c r="T46" i="39" s="1"/>
  <c r="M32" i="39"/>
  <c r="G61" i="39" s="1"/>
  <c r="I32" i="39"/>
  <c r="E61" i="39" s="1"/>
  <c r="E32" i="39"/>
  <c r="C61" i="39" s="1"/>
  <c r="M26" i="39"/>
  <c r="G55" i="39" s="1"/>
  <c r="I26" i="39"/>
  <c r="E55" i="39" s="1"/>
  <c r="E26" i="39"/>
  <c r="C55" i="39" s="1"/>
  <c r="P4" i="39"/>
  <c r="P3" i="39"/>
  <c r="A62" i="38"/>
  <c r="A61" i="38"/>
  <c r="A60" i="38"/>
  <c r="G59" i="38"/>
  <c r="D59" i="38"/>
  <c r="A57" i="38"/>
  <c r="A56" i="38"/>
  <c r="A55" i="38"/>
  <c r="G54" i="38"/>
  <c r="B54" i="38"/>
  <c r="A52" i="38"/>
  <c r="A51" i="38"/>
  <c r="A50" i="38"/>
  <c r="G49" i="38"/>
  <c r="F49" i="38"/>
  <c r="E49" i="38"/>
  <c r="D49" i="38"/>
  <c r="C49" i="38"/>
  <c r="B49" i="38"/>
  <c r="A47" i="38"/>
  <c r="A46" i="38"/>
  <c r="A45" i="38"/>
  <c r="G44" i="38"/>
  <c r="F44" i="38"/>
  <c r="E44" i="38"/>
  <c r="D44" i="38"/>
  <c r="C44" i="38"/>
  <c r="B44" i="38"/>
  <c r="L37" i="38"/>
  <c r="M30" i="38"/>
  <c r="K30" i="38"/>
  <c r="F59" i="38" s="1"/>
  <c r="I30" i="38"/>
  <c r="E59" i="38" s="1"/>
  <c r="G30" i="38"/>
  <c r="E30" i="38"/>
  <c r="C59" i="38" s="1"/>
  <c r="C30" i="38"/>
  <c r="B59" i="38" s="1"/>
  <c r="M25" i="38"/>
  <c r="K25" i="38"/>
  <c r="F54" i="38" s="1"/>
  <c r="I25" i="38"/>
  <c r="E54" i="38" s="1"/>
  <c r="G25" i="38"/>
  <c r="D54" i="38" s="1"/>
  <c r="E25" i="38"/>
  <c r="C54" i="38" s="1"/>
  <c r="C25" i="38"/>
  <c r="L41" i="36"/>
  <c r="L40" i="36"/>
  <c r="L39" i="36"/>
  <c r="L38" i="36"/>
  <c r="L37" i="36"/>
  <c r="L35" i="36"/>
  <c r="L34" i="36"/>
  <c r="L33" i="36"/>
  <c r="L32" i="36"/>
  <c r="L31" i="36"/>
  <c r="L29" i="36"/>
  <c r="L28" i="36"/>
  <c r="L27" i="36"/>
  <c r="L26" i="36"/>
  <c r="L25" i="36"/>
  <c r="L43" i="36" s="1"/>
  <c r="L23" i="36"/>
  <c r="L22" i="36"/>
  <c r="L20" i="36"/>
  <c r="L19" i="36"/>
  <c r="F16" i="36" s="1"/>
  <c r="O86" i="37"/>
  <c r="O85" i="37"/>
  <c r="M22" i="37"/>
  <c r="L22" i="37"/>
  <c r="K22" i="37"/>
  <c r="J22" i="37"/>
  <c r="I22" i="37"/>
  <c r="H22" i="37"/>
  <c r="O22" i="37" s="1"/>
  <c r="G22" i="37"/>
  <c r="F22" i="37"/>
  <c r="E22" i="37"/>
  <c r="D22" i="37"/>
  <c r="C22" i="37"/>
  <c r="B22" i="37"/>
  <c r="M21" i="37"/>
  <c r="L21" i="37"/>
  <c r="K21" i="37"/>
  <c r="J21" i="37"/>
  <c r="I21" i="37"/>
  <c r="H21" i="37"/>
  <c r="G21" i="37"/>
  <c r="F21" i="37"/>
  <c r="E21" i="37"/>
  <c r="D21" i="37"/>
  <c r="O21" i="37" s="1"/>
  <c r="C21" i="37"/>
  <c r="B21" i="37"/>
  <c r="M20" i="37"/>
  <c r="L20" i="37"/>
  <c r="K20" i="37"/>
  <c r="J20" i="37"/>
  <c r="I20" i="37"/>
  <c r="H20" i="37"/>
  <c r="O20" i="37" s="1"/>
  <c r="G20" i="37"/>
  <c r="F20" i="37"/>
  <c r="E20" i="37"/>
  <c r="D20" i="37"/>
  <c r="C20" i="37"/>
  <c r="B20" i="37"/>
  <c r="M19" i="37"/>
  <c r="L19" i="37"/>
  <c r="K19" i="37"/>
  <c r="J19" i="37"/>
  <c r="I19" i="37"/>
  <c r="H19" i="37"/>
  <c r="G19" i="37"/>
  <c r="F19" i="37"/>
  <c r="E19" i="37"/>
  <c r="D19" i="37"/>
  <c r="C19" i="37"/>
  <c r="B19" i="37"/>
  <c r="M18" i="37"/>
  <c r="L18" i="37"/>
  <c r="K18" i="37"/>
  <c r="J18" i="37"/>
  <c r="I18" i="37"/>
  <c r="H18" i="37"/>
  <c r="O18" i="37" s="1"/>
  <c r="G18" i="37"/>
  <c r="F18" i="37"/>
  <c r="E18" i="37"/>
  <c r="D18" i="37"/>
  <c r="C18" i="37"/>
  <c r="B18" i="37"/>
  <c r="M17" i="37"/>
  <c r="L17" i="37"/>
  <c r="M28" i="37" s="1"/>
  <c r="G57" i="37" s="1"/>
  <c r="K17" i="37"/>
  <c r="J17" i="37"/>
  <c r="I17" i="37"/>
  <c r="H17" i="37"/>
  <c r="G17" i="37"/>
  <c r="F17" i="37"/>
  <c r="E17" i="37"/>
  <c r="D17" i="37"/>
  <c r="O17" i="37" s="1"/>
  <c r="C17" i="37"/>
  <c r="B17" i="37"/>
  <c r="M16" i="37"/>
  <c r="L16" i="37"/>
  <c r="K16" i="37"/>
  <c r="J16" i="37"/>
  <c r="I16" i="37"/>
  <c r="H16" i="37"/>
  <c r="O16" i="37" s="1"/>
  <c r="G16" i="37"/>
  <c r="F16" i="37"/>
  <c r="E16" i="37"/>
  <c r="D16" i="37"/>
  <c r="C16" i="37"/>
  <c r="B16" i="37"/>
  <c r="M15" i="37"/>
  <c r="L15" i="37"/>
  <c r="K15" i="37"/>
  <c r="J15" i="37"/>
  <c r="I15" i="37"/>
  <c r="H15" i="37"/>
  <c r="G15" i="37"/>
  <c r="F15" i="37"/>
  <c r="E15" i="37"/>
  <c r="D15" i="37"/>
  <c r="O15" i="37" s="1"/>
  <c r="C15" i="37"/>
  <c r="B15" i="37"/>
  <c r="M14" i="37"/>
  <c r="L14" i="37"/>
  <c r="K14" i="37"/>
  <c r="J14" i="37"/>
  <c r="I14" i="37"/>
  <c r="H14" i="37"/>
  <c r="O14" i="37" s="1"/>
  <c r="G14" i="37"/>
  <c r="F14" i="37"/>
  <c r="E14" i="37"/>
  <c r="D14" i="37"/>
  <c r="C14" i="37"/>
  <c r="B14" i="37"/>
  <c r="M13" i="37"/>
  <c r="L13" i="37"/>
  <c r="M33" i="37" s="1"/>
  <c r="G62" i="37" s="1"/>
  <c r="K13" i="37"/>
  <c r="J13" i="37"/>
  <c r="I13" i="37"/>
  <c r="H13" i="37"/>
  <c r="G13" i="37"/>
  <c r="F13" i="37"/>
  <c r="E13" i="37"/>
  <c r="D13" i="37"/>
  <c r="O13" i="37" s="1"/>
  <c r="C13" i="37"/>
  <c r="B13" i="37"/>
  <c r="M12" i="37"/>
  <c r="L12" i="37"/>
  <c r="K12" i="37"/>
  <c r="J12" i="37"/>
  <c r="I12" i="37"/>
  <c r="H12" i="37"/>
  <c r="O12" i="37" s="1"/>
  <c r="G12" i="37"/>
  <c r="F12" i="37"/>
  <c r="E12" i="37"/>
  <c r="D12" i="37"/>
  <c r="C12" i="37"/>
  <c r="B12" i="37"/>
  <c r="M11" i="37"/>
  <c r="L11" i="37"/>
  <c r="M27" i="37" s="1"/>
  <c r="G56" i="37" s="1"/>
  <c r="K11" i="37"/>
  <c r="J11" i="37"/>
  <c r="I11" i="37"/>
  <c r="H11" i="37"/>
  <c r="G11" i="37"/>
  <c r="F11" i="37"/>
  <c r="E11" i="37"/>
  <c r="D11" i="37"/>
  <c r="O11" i="37" s="1"/>
  <c r="C11" i="37"/>
  <c r="B11" i="37"/>
  <c r="M10" i="37"/>
  <c r="L10" i="37"/>
  <c r="K10" i="37"/>
  <c r="J10" i="37"/>
  <c r="I10" i="37"/>
  <c r="H10" i="37"/>
  <c r="O10" i="37" s="1"/>
  <c r="G10" i="37"/>
  <c r="F10" i="37"/>
  <c r="E10" i="37"/>
  <c r="D10" i="37"/>
  <c r="C10" i="37"/>
  <c r="B10" i="37"/>
  <c r="M9" i="37"/>
  <c r="L9" i="37"/>
  <c r="M26" i="37" s="1"/>
  <c r="G55" i="37" s="1"/>
  <c r="K9" i="37"/>
  <c r="J9" i="37"/>
  <c r="I9" i="37"/>
  <c r="H9" i="37"/>
  <c r="G9" i="37"/>
  <c r="F9" i="37"/>
  <c r="E9" i="37"/>
  <c r="D9" i="37"/>
  <c r="E31" i="37" s="1"/>
  <c r="C60" i="37" s="1"/>
  <c r="C9" i="37"/>
  <c r="B9" i="37"/>
  <c r="M8" i="37"/>
  <c r="L8" i="37"/>
  <c r="K8" i="37"/>
  <c r="J8" i="37"/>
  <c r="I8" i="37"/>
  <c r="H8" i="37"/>
  <c r="G8" i="37"/>
  <c r="F8" i="37"/>
  <c r="E8" i="37"/>
  <c r="D8" i="37"/>
  <c r="C8" i="37"/>
  <c r="B8" i="37"/>
  <c r="M7" i="37"/>
  <c r="L7" i="37"/>
  <c r="K7" i="37"/>
  <c r="J7" i="37"/>
  <c r="I7" i="37"/>
  <c r="H7" i="37"/>
  <c r="G7" i="37"/>
  <c r="F7" i="37"/>
  <c r="E7" i="37"/>
  <c r="D7" i="37"/>
  <c r="O7" i="37" s="1"/>
  <c r="C7" i="37"/>
  <c r="B7" i="37"/>
  <c r="M6" i="37"/>
  <c r="L6" i="37"/>
  <c r="K6" i="37"/>
  <c r="J6" i="37"/>
  <c r="I6" i="37"/>
  <c r="H6" i="37"/>
  <c r="G6" i="37"/>
  <c r="F6" i="37"/>
  <c r="E6" i="37"/>
  <c r="D6" i="37"/>
  <c r="C6" i="37"/>
  <c r="B6" i="37"/>
  <c r="M5" i="37"/>
  <c r="L5" i="37"/>
  <c r="M32" i="37" s="1"/>
  <c r="K5" i="37"/>
  <c r="J5" i="37"/>
  <c r="I5" i="37"/>
  <c r="H5" i="37"/>
  <c r="G5" i="37"/>
  <c r="F5" i="37"/>
  <c r="E5" i="37"/>
  <c r="D5" i="37"/>
  <c r="C5" i="37"/>
  <c r="B5" i="37"/>
  <c r="M4" i="37"/>
  <c r="L4" i="37"/>
  <c r="K4" i="37"/>
  <c r="J4" i="37"/>
  <c r="I4" i="37"/>
  <c r="H4" i="37"/>
  <c r="I26" i="37" s="1"/>
  <c r="E55" i="37" s="1"/>
  <c r="G4" i="37"/>
  <c r="F4" i="37"/>
  <c r="E4" i="37"/>
  <c r="D4" i="37"/>
  <c r="C4" i="37"/>
  <c r="B4" i="37"/>
  <c r="M3" i="37"/>
  <c r="L3" i="37"/>
  <c r="K3" i="37"/>
  <c r="J3" i="37"/>
  <c r="I3" i="37"/>
  <c r="H3" i="37"/>
  <c r="G3" i="37"/>
  <c r="F3" i="37"/>
  <c r="E3" i="37"/>
  <c r="D3" i="37"/>
  <c r="O3" i="37" s="1"/>
  <c r="O82" i="37" s="1"/>
  <c r="O88" i="37" s="1"/>
  <c r="C3" i="37"/>
  <c r="B3" i="37"/>
  <c r="A88" i="37"/>
  <c r="A87" i="37"/>
  <c r="A86" i="37"/>
  <c r="A85" i="37"/>
  <c r="A84" i="37"/>
  <c r="A83" i="37"/>
  <c r="A62" i="37"/>
  <c r="A61" i="37"/>
  <c r="A60" i="37"/>
  <c r="F59" i="37"/>
  <c r="A57" i="37"/>
  <c r="A56" i="37"/>
  <c r="A55" i="37"/>
  <c r="C54" i="37"/>
  <c r="A52" i="37"/>
  <c r="A51" i="37"/>
  <c r="A50" i="37"/>
  <c r="G49" i="37"/>
  <c r="F49" i="37"/>
  <c r="E49" i="37"/>
  <c r="D49" i="37"/>
  <c r="C49" i="37"/>
  <c r="B49" i="37"/>
  <c r="A47" i="37"/>
  <c r="A46" i="37"/>
  <c r="A45" i="37"/>
  <c r="G44" i="37"/>
  <c r="F44" i="37"/>
  <c r="E44" i="37"/>
  <c r="D44" i="37"/>
  <c r="C44" i="37"/>
  <c r="B44" i="37"/>
  <c r="L37" i="37"/>
  <c r="G32" i="37"/>
  <c r="D61" i="37" s="1"/>
  <c r="M30" i="37"/>
  <c r="G59" i="37" s="1"/>
  <c r="K30" i="37"/>
  <c r="I30" i="37"/>
  <c r="E59" i="37" s="1"/>
  <c r="G30" i="37"/>
  <c r="D59" i="37" s="1"/>
  <c r="E30" i="37"/>
  <c r="C59" i="37" s="1"/>
  <c r="C30" i="37"/>
  <c r="B59" i="37" s="1"/>
  <c r="M25" i="37"/>
  <c r="G54" i="37" s="1"/>
  <c r="K25" i="37"/>
  <c r="F54" i="37" s="1"/>
  <c r="I25" i="37"/>
  <c r="E54" i="37" s="1"/>
  <c r="G25" i="37"/>
  <c r="D54" i="37" s="1"/>
  <c r="E25" i="37"/>
  <c r="C25" i="37"/>
  <c r="B54" i="37" s="1"/>
  <c r="P22" i="37"/>
  <c r="P21" i="37"/>
  <c r="P20" i="37"/>
  <c r="G33" i="37"/>
  <c r="D62" i="37" s="1"/>
  <c r="P18" i="37"/>
  <c r="K28" i="37"/>
  <c r="F57" i="37" s="1"/>
  <c r="I28" i="37"/>
  <c r="E57" i="37" s="1"/>
  <c r="G28" i="37"/>
  <c r="D57" i="37" s="1"/>
  <c r="P17" i="37"/>
  <c r="P16" i="37"/>
  <c r="P15" i="37"/>
  <c r="P14" i="37"/>
  <c r="P13" i="37"/>
  <c r="P12" i="37"/>
  <c r="P11" i="37"/>
  <c r="K27" i="37"/>
  <c r="F56" i="37" s="1"/>
  <c r="G27" i="37"/>
  <c r="D56" i="37" s="1"/>
  <c r="C27" i="37"/>
  <c r="B56" i="37" s="1"/>
  <c r="P10" i="37"/>
  <c r="G86" i="37"/>
  <c r="K31" i="37"/>
  <c r="F60" i="37" s="1"/>
  <c r="P8" i="37"/>
  <c r="C31" i="37"/>
  <c r="B60" i="37" s="1"/>
  <c r="P7" i="37"/>
  <c r="K33" i="37"/>
  <c r="F62" i="37" s="1"/>
  <c r="I33" i="37"/>
  <c r="E62" i="37" s="1"/>
  <c r="P6" i="37"/>
  <c r="G84" i="37"/>
  <c r="C33" i="37"/>
  <c r="B62" i="37" s="1"/>
  <c r="K32" i="37"/>
  <c r="F61" i="37" s="1"/>
  <c r="E32" i="37"/>
  <c r="C61" i="37" s="1"/>
  <c r="G83" i="37"/>
  <c r="C32" i="37"/>
  <c r="B61" i="37" s="1"/>
  <c r="K26" i="37"/>
  <c r="F55" i="37" s="1"/>
  <c r="G26" i="37"/>
  <c r="D55" i="37" s="1"/>
  <c r="O4" i="37"/>
  <c r="P4" i="37"/>
  <c r="P3" i="37"/>
  <c r="C26" i="36"/>
  <c r="C25" i="36"/>
  <c r="C24" i="36"/>
  <c r="C23" i="36"/>
  <c r="C22" i="36"/>
  <c r="C21" i="36"/>
  <c r="C20" i="36"/>
  <c r="D18" i="36"/>
  <c r="C18" i="36"/>
  <c r="D17" i="36"/>
  <c r="C17" i="36"/>
  <c r="B14" i="36"/>
  <c r="A14" i="36"/>
  <c r="B13" i="36"/>
  <c r="A13" i="36"/>
  <c r="B12" i="36"/>
  <c r="A12" i="36"/>
  <c r="B11" i="36"/>
  <c r="A11" i="36"/>
  <c r="B10" i="36"/>
  <c r="A10" i="36"/>
  <c r="B9" i="36"/>
  <c r="A9" i="36"/>
  <c r="B8" i="36"/>
  <c r="A8" i="36"/>
  <c r="B7" i="36"/>
  <c r="A7" i="36"/>
  <c r="B6" i="36"/>
  <c r="A6" i="36"/>
  <c r="B5" i="36"/>
  <c r="A5" i="36"/>
  <c r="L84" i="36" a="1"/>
  <c r="J75" i="36"/>
  <c r="J74" i="36"/>
  <c r="J73" i="36"/>
  <c r="J72" i="36"/>
  <c r="J71" i="36"/>
  <c r="J70" i="36"/>
  <c r="J66" i="36"/>
  <c r="J65" i="36"/>
  <c r="J64" i="36"/>
  <c r="J63" i="36"/>
  <c r="J62" i="36"/>
  <c r="J61" i="36"/>
  <c r="J57" i="36"/>
  <c r="J56" i="36"/>
  <c r="J55" i="36"/>
  <c r="J54" i="36"/>
  <c r="J53" i="36"/>
  <c r="J52" i="36"/>
  <c r="J48" i="36"/>
  <c r="L47" i="36"/>
  <c r="J47" i="36"/>
  <c r="J46" i="36"/>
  <c r="J45" i="36"/>
  <c r="J44" i="36"/>
  <c r="J43" i="36"/>
  <c r="A88" i="35"/>
  <c r="A87" i="35"/>
  <c r="A86" i="35"/>
  <c r="A85" i="35"/>
  <c r="A84" i="35"/>
  <c r="A83" i="35"/>
  <c r="A62" i="35"/>
  <c r="A61" i="35"/>
  <c r="A60" i="35"/>
  <c r="G59" i="35"/>
  <c r="E59" i="35"/>
  <c r="D59" i="35"/>
  <c r="A57" i="35"/>
  <c r="A56" i="35"/>
  <c r="A55" i="35"/>
  <c r="G54" i="35"/>
  <c r="F54" i="35"/>
  <c r="B54" i="35"/>
  <c r="A52" i="35"/>
  <c r="A51" i="35"/>
  <c r="A50" i="35"/>
  <c r="G49" i="35"/>
  <c r="F49" i="35"/>
  <c r="E49" i="35"/>
  <c r="D49" i="35"/>
  <c r="C49" i="35"/>
  <c r="B49" i="35"/>
  <c r="A47" i="35"/>
  <c r="A46" i="35"/>
  <c r="A45" i="35"/>
  <c r="G44" i="35"/>
  <c r="F44" i="35"/>
  <c r="E44" i="35"/>
  <c r="D44" i="35"/>
  <c r="C44" i="35"/>
  <c r="B44" i="35"/>
  <c r="L37" i="35"/>
  <c r="M30" i="35"/>
  <c r="K30" i="35"/>
  <c r="F59" i="35" s="1"/>
  <c r="I30" i="35"/>
  <c r="G30" i="35"/>
  <c r="E30" i="35"/>
  <c r="C59" i="35" s="1"/>
  <c r="C30" i="35"/>
  <c r="B59" i="35" s="1"/>
  <c r="M25" i="35"/>
  <c r="K25" i="35"/>
  <c r="I25" i="35"/>
  <c r="E54" i="35" s="1"/>
  <c r="G25" i="35"/>
  <c r="D54" i="35" s="1"/>
  <c r="E25" i="35"/>
  <c r="C54" i="35" s="1"/>
  <c r="C25" i="35"/>
  <c r="U26" i="11"/>
  <c r="U27" i="11"/>
  <c r="U28" i="11"/>
  <c r="U29" i="11"/>
  <c r="L16" i="36" l="1"/>
  <c r="L16" i="40"/>
  <c r="O89" i="39"/>
  <c r="O91" i="39" s="1"/>
  <c r="L65" i="40"/>
  <c r="L52" i="40"/>
  <c r="L56" i="40"/>
  <c r="L15" i="40"/>
  <c r="A17" i="40"/>
  <c r="L54" i="40"/>
  <c r="L84" i="40"/>
  <c r="L17" i="40"/>
  <c r="B15" i="40"/>
  <c r="L63" i="40"/>
  <c r="L45" i="40"/>
  <c r="L70" i="40"/>
  <c r="L72" i="40"/>
  <c r="G26" i="39"/>
  <c r="D55" i="39" s="1"/>
  <c r="K32" i="39"/>
  <c r="F61" i="39" s="1"/>
  <c r="K26" i="39"/>
  <c r="F55" i="39" s="1"/>
  <c r="G27" i="39"/>
  <c r="D56" i="39" s="1"/>
  <c r="T37" i="39"/>
  <c r="V37" i="39" s="1"/>
  <c r="V36" i="39" s="1"/>
  <c r="O13" i="39"/>
  <c r="O17" i="39"/>
  <c r="G32" i="39"/>
  <c r="D61" i="39" s="1"/>
  <c r="T41" i="39"/>
  <c r="G31" i="39"/>
  <c r="D60" i="39" s="1"/>
  <c r="M31" i="39"/>
  <c r="G60" i="39" s="1"/>
  <c r="C26" i="39"/>
  <c r="B55" i="39" s="1"/>
  <c r="C31" i="39"/>
  <c r="B60" i="39" s="1"/>
  <c r="K31" i="39"/>
  <c r="F60" i="39" s="1"/>
  <c r="O5" i="39"/>
  <c r="O9" i="39"/>
  <c r="G33" i="39"/>
  <c r="D62" i="39" s="1"/>
  <c r="T57" i="39"/>
  <c r="T58" i="39" s="1"/>
  <c r="V58" i="39" s="1"/>
  <c r="V57" i="39" s="1"/>
  <c r="U46" i="39"/>
  <c r="V46" i="39" s="1"/>
  <c r="V45" i="39" s="1"/>
  <c r="N32" i="39" s="1"/>
  <c r="O8" i="39"/>
  <c r="O12" i="39"/>
  <c r="U36" i="39"/>
  <c r="P12" i="39"/>
  <c r="P20" i="39"/>
  <c r="O19" i="39"/>
  <c r="P33" i="39" s="1"/>
  <c r="P11" i="39"/>
  <c r="E26" i="37"/>
  <c r="C55" i="37" s="1"/>
  <c r="I32" i="37"/>
  <c r="E61" i="37" s="1"/>
  <c r="M31" i="37"/>
  <c r="G60" i="37" s="1"/>
  <c r="I27" i="37"/>
  <c r="E56" i="37" s="1"/>
  <c r="E28" i="37"/>
  <c r="C57" i="37" s="1"/>
  <c r="E33" i="37"/>
  <c r="C62" i="37" s="1"/>
  <c r="E27" i="37"/>
  <c r="C56" i="37" s="1"/>
  <c r="O84" i="37"/>
  <c r="O89" i="37" s="1"/>
  <c r="P27" i="37"/>
  <c r="G61" i="37"/>
  <c r="N32" i="37"/>
  <c r="P19" i="37"/>
  <c r="P28" i="37" s="1"/>
  <c r="C28" i="37"/>
  <c r="B57" i="37" s="1"/>
  <c r="E64" i="37" s="1" a="1"/>
  <c r="O6" i="37"/>
  <c r="G31" i="37"/>
  <c r="D60" i="37" s="1"/>
  <c r="E72" i="37" s="1" a="1"/>
  <c r="C26" i="37"/>
  <c r="B55" i="37" s="1"/>
  <c r="O5" i="37"/>
  <c r="O9" i="37"/>
  <c r="I31" i="37"/>
  <c r="E60" i="37" s="1"/>
  <c r="P5" i="37"/>
  <c r="P9" i="37"/>
  <c r="P26" i="37" s="1"/>
  <c r="G85" i="37"/>
  <c r="O8" i="37"/>
  <c r="O19" i="37"/>
  <c r="L74" i="36"/>
  <c r="L63" i="36"/>
  <c r="L54" i="36"/>
  <c r="A18" i="36"/>
  <c r="A17" i="36"/>
  <c r="L15" i="36"/>
  <c r="L52" i="36"/>
  <c r="L56" i="36"/>
  <c r="L17" i="36"/>
  <c r="B15" i="36"/>
  <c r="L65" i="36"/>
  <c r="L61" i="36"/>
  <c r="L84" i="36"/>
  <c r="L45" i="36"/>
  <c r="L70" i="36"/>
  <c r="L72" i="36"/>
  <c r="L41" i="26"/>
  <c r="L40" i="26"/>
  <c r="L39" i="26"/>
  <c r="L38" i="26"/>
  <c r="L37" i="26"/>
  <c r="L35" i="26"/>
  <c r="L34" i="26"/>
  <c r="O34" i="26" s="1"/>
  <c r="L33" i="26"/>
  <c r="L32" i="26"/>
  <c r="L31" i="26"/>
  <c r="L29" i="26"/>
  <c r="L28" i="26"/>
  <c r="L27" i="26"/>
  <c r="L26" i="26"/>
  <c r="L25" i="26"/>
  <c r="L23" i="26"/>
  <c r="L22" i="26"/>
  <c r="L20" i="26"/>
  <c r="L19" i="26"/>
  <c r="A62" i="25"/>
  <c r="A61" i="25"/>
  <c r="A60" i="25"/>
  <c r="G59" i="25"/>
  <c r="F59" i="25"/>
  <c r="E59" i="25"/>
  <c r="D59" i="25"/>
  <c r="C59" i="25"/>
  <c r="B59" i="25"/>
  <c r="A57" i="25"/>
  <c r="A56" i="25"/>
  <c r="A55" i="25"/>
  <c r="G54" i="25"/>
  <c r="F54" i="25"/>
  <c r="E54" i="25"/>
  <c r="D54" i="25"/>
  <c r="C54" i="25"/>
  <c r="B54" i="25"/>
  <c r="A52" i="25"/>
  <c r="A51" i="25"/>
  <c r="A50" i="25"/>
  <c r="G49" i="25"/>
  <c r="F49" i="25"/>
  <c r="E49" i="25"/>
  <c r="D49" i="25"/>
  <c r="C49" i="25"/>
  <c r="B49" i="25"/>
  <c r="A47" i="25"/>
  <c r="A46" i="25"/>
  <c r="A45" i="25"/>
  <c r="G44" i="25"/>
  <c r="F44" i="25"/>
  <c r="E44" i="25"/>
  <c r="D44" i="25"/>
  <c r="C44" i="25"/>
  <c r="B44" i="25"/>
  <c r="L37" i="25"/>
  <c r="M30" i="25"/>
  <c r="K30" i="25"/>
  <c r="I30" i="25"/>
  <c r="G30" i="25"/>
  <c r="E30" i="25"/>
  <c r="C30" i="25"/>
  <c r="M25" i="25"/>
  <c r="K25" i="25"/>
  <c r="I25" i="25"/>
  <c r="G25" i="25"/>
  <c r="E25" i="25"/>
  <c r="C25" i="25"/>
  <c r="A88" i="25"/>
  <c r="A87" i="25"/>
  <c r="A86" i="25"/>
  <c r="A85" i="25"/>
  <c r="A84" i="25"/>
  <c r="A83" i="25"/>
  <c r="B5" i="11"/>
  <c r="G26" i="11"/>
  <c r="L84" i="26" a="1"/>
  <c r="L84" i="26" s="1"/>
  <c r="O32" i="26" l="1"/>
  <c r="O33" i="26"/>
  <c r="L43" i="26"/>
  <c r="O25" i="26"/>
  <c r="E64" i="39" a="1"/>
  <c r="G65" i="39" s="1"/>
  <c r="P27" i="39"/>
  <c r="E66" i="39"/>
  <c r="F68" i="39"/>
  <c r="E65" i="39"/>
  <c r="E70" i="39"/>
  <c r="G66" i="39"/>
  <c r="E64" i="39"/>
  <c r="P26" i="39"/>
  <c r="P28" i="39"/>
  <c r="P32" i="39"/>
  <c r="P31" i="39"/>
  <c r="E72" i="39" a="1"/>
  <c r="E70" i="37"/>
  <c r="F67" i="37"/>
  <c r="G64" i="37"/>
  <c r="G69" i="37"/>
  <c r="E67" i="37"/>
  <c r="F64" i="37"/>
  <c r="F69" i="37"/>
  <c r="G66" i="37"/>
  <c r="E64" i="37"/>
  <c r="E69" i="37"/>
  <c r="F66" i="37"/>
  <c r="G68" i="37"/>
  <c r="E66" i="37"/>
  <c r="F68" i="37"/>
  <c r="G65" i="37"/>
  <c r="G67" i="37"/>
  <c r="E65" i="37"/>
  <c r="G70" i="37"/>
  <c r="E68" i="37"/>
  <c r="F65" i="37"/>
  <c r="F70" i="37"/>
  <c r="E77" i="37"/>
  <c r="F74" i="37"/>
  <c r="G76" i="37"/>
  <c r="E74" i="37"/>
  <c r="F76" i="37"/>
  <c r="G73" i="37"/>
  <c r="G78" i="37"/>
  <c r="E76" i="37"/>
  <c r="F73" i="37"/>
  <c r="F78" i="37"/>
  <c r="G75" i="37"/>
  <c r="E73" i="37"/>
  <c r="E78" i="37"/>
  <c r="F75" i="37"/>
  <c r="G72" i="37"/>
  <c r="F77" i="37"/>
  <c r="G74" i="37"/>
  <c r="G77" i="37"/>
  <c r="E75" i="37"/>
  <c r="F72" i="37"/>
  <c r="E72" i="37"/>
  <c r="F86" i="37"/>
  <c r="F83" i="37"/>
  <c r="O83" i="37"/>
  <c r="P32" i="37"/>
  <c r="O91" i="37"/>
  <c r="F85" i="37"/>
  <c r="P31" i="37"/>
  <c r="F84" i="37"/>
  <c r="P33" i="37"/>
  <c r="J75" i="26"/>
  <c r="J74" i="26"/>
  <c r="J73" i="26"/>
  <c r="J72" i="26"/>
  <c r="J71" i="26"/>
  <c r="J70" i="26"/>
  <c r="J66" i="26"/>
  <c r="J65" i="26"/>
  <c r="J64" i="26"/>
  <c r="J63" i="26"/>
  <c r="J62" i="26"/>
  <c r="J61" i="26"/>
  <c r="J57" i="26"/>
  <c r="J56" i="26"/>
  <c r="J55" i="26"/>
  <c r="J54" i="26"/>
  <c r="J53" i="26"/>
  <c r="J52" i="26"/>
  <c r="J48" i="26"/>
  <c r="J47" i="26"/>
  <c r="J46" i="26"/>
  <c r="J45" i="26"/>
  <c r="J44" i="26"/>
  <c r="J43" i="26"/>
  <c r="A6" i="26"/>
  <c r="A7" i="26"/>
  <c r="A8" i="26"/>
  <c r="A9" i="26"/>
  <c r="A10" i="26"/>
  <c r="A11" i="26"/>
  <c r="A12" i="26"/>
  <c r="A13" i="26"/>
  <c r="A14" i="26"/>
  <c r="A5" i="26"/>
  <c r="F69" i="39" l="1"/>
  <c r="G67" i="39"/>
  <c r="G68" i="39"/>
  <c r="F64" i="39"/>
  <c r="F70" i="39"/>
  <c r="F66" i="39"/>
  <c r="E67" i="39"/>
  <c r="F65" i="39"/>
  <c r="E69" i="39"/>
  <c r="G69" i="39"/>
  <c r="E68" i="39"/>
  <c r="G64" i="39"/>
  <c r="G70" i="39"/>
  <c r="F67" i="39"/>
  <c r="G78" i="39"/>
  <c r="E76" i="39"/>
  <c r="F73" i="39"/>
  <c r="F78" i="39"/>
  <c r="G75" i="39"/>
  <c r="E73" i="39"/>
  <c r="E78" i="39"/>
  <c r="F75" i="39"/>
  <c r="G72" i="39"/>
  <c r="G77" i="39"/>
  <c r="E75" i="39"/>
  <c r="F72" i="39"/>
  <c r="F77" i="39"/>
  <c r="G74" i="39"/>
  <c r="E72" i="39"/>
  <c r="E77" i="39"/>
  <c r="F74" i="39"/>
  <c r="G76" i="39"/>
  <c r="E74" i="39"/>
  <c r="F76" i="39"/>
  <c r="G73" i="39"/>
  <c r="F91" i="37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M45" i="11"/>
  <c r="K45" i="11"/>
  <c r="I45" i="11"/>
  <c r="G45" i="11"/>
  <c r="E45" i="11"/>
  <c r="C45" i="11"/>
  <c r="M39" i="11"/>
  <c r="K39" i="11"/>
  <c r="I39" i="11"/>
  <c r="G39" i="11"/>
  <c r="E39" i="11"/>
  <c r="C39" i="1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3" i="31"/>
  <c r="P4" i="31"/>
  <c r="P5" i="31"/>
  <c r="O3" i="31"/>
  <c r="L8" i="4" l="1"/>
  <c r="I8" i="4"/>
  <c r="H8" i="4"/>
  <c r="G8" i="4"/>
  <c r="A62" i="32"/>
  <c r="A61" i="32"/>
  <c r="A60" i="32"/>
  <c r="G59" i="32"/>
  <c r="F59" i="32"/>
  <c r="E59" i="32"/>
  <c r="D59" i="32"/>
  <c r="C59" i="32"/>
  <c r="B59" i="32"/>
  <c r="A57" i="32"/>
  <c r="A56" i="32"/>
  <c r="A55" i="32"/>
  <c r="G54" i="32"/>
  <c r="F54" i="32"/>
  <c r="E54" i="32"/>
  <c r="D54" i="32"/>
  <c r="C54" i="32"/>
  <c r="B54" i="32"/>
  <c r="A52" i="32"/>
  <c r="A51" i="32"/>
  <c r="A50" i="32"/>
  <c r="G49" i="32"/>
  <c r="F49" i="32"/>
  <c r="E49" i="32"/>
  <c r="D49" i="32"/>
  <c r="C49" i="32"/>
  <c r="B49" i="32"/>
  <c r="A47" i="32"/>
  <c r="A46" i="32"/>
  <c r="A45" i="32"/>
  <c r="G44" i="32"/>
  <c r="F44" i="32"/>
  <c r="E44" i="32"/>
  <c r="D44" i="32"/>
  <c r="C44" i="32"/>
  <c r="B44" i="32"/>
  <c r="M30" i="32"/>
  <c r="K30" i="32"/>
  <c r="I30" i="32"/>
  <c r="G30" i="32"/>
  <c r="E30" i="32"/>
  <c r="C30" i="32"/>
  <c r="M25" i="32"/>
  <c r="K25" i="32"/>
  <c r="I25" i="32"/>
  <c r="G25" i="32"/>
  <c r="E25" i="32"/>
  <c r="C25" i="32"/>
  <c r="L37" i="32"/>
  <c r="M22" i="32"/>
  <c r="L22" i="32"/>
  <c r="K22" i="32"/>
  <c r="J22" i="32"/>
  <c r="I22" i="32"/>
  <c r="H22" i="32"/>
  <c r="C22" i="32"/>
  <c r="B22" i="32"/>
  <c r="A22" i="32"/>
  <c r="M21" i="32"/>
  <c r="L21" i="32"/>
  <c r="K21" i="32"/>
  <c r="J21" i="32"/>
  <c r="I21" i="32"/>
  <c r="H21" i="32"/>
  <c r="C21" i="32"/>
  <c r="B21" i="32"/>
  <c r="A21" i="32"/>
  <c r="M20" i="32"/>
  <c r="L20" i="32"/>
  <c r="K20" i="32"/>
  <c r="J20" i="32"/>
  <c r="I20" i="32"/>
  <c r="H20" i="32"/>
  <c r="C20" i="32"/>
  <c r="B20" i="32"/>
  <c r="A20" i="32"/>
  <c r="M19" i="32"/>
  <c r="L19" i="32"/>
  <c r="K19" i="32"/>
  <c r="J19" i="32"/>
  <c r="I19" i="32"/>
  <c r="H19" i="32"/>
  <c r="C19" i="32"/>
  <c r="B19" i="32"/>
  <c r="A19" i="32"/>
  <c r="M18" i="32"/>
  <c r="L18" i="32"/>
  <c r="K18" i="32"/>
  <c r="J18" i="32"/>
  <c r="I18" i="32"/>
  <c r="H18" i="32"/>
  <c r="C18" i="32"/>
  <c r="B18" i="32"/>
  <c r="A18" i="32"/>
  <c r="M17" i="32"/>
  <c r="M28" i="32" s="1"/>
  <c r="G57" i="32" s="1"/>
  <c r="L17" i="32"/>
  <c r="K17" i="32"/>
  <c r="J17" i="32"/>
  <c r="K28" i="32" s="1"/>
  <c r="F57" i="32" s="1"/>
  <c r="I17" i="32"/>
  <c r="I28" i="32" s="1"/>
  <c r="E57" i="32" s="1"/>
  <c r="H17" i="32"/>
  <c r="C17" i="32"/>
  <c r="B17" i="32"/>
  <c r="A17" i="32"/>
  <c r="M16" i="32"/>
  <c r="L16" i="32"/>
  <c r="K16" i="32"/>
  <c r="J16" i="32"/>
  <c r="I16" i="32"/>
  <c r="H16" i="32"/>
  <c r="C16" i="32"/>
  <c r="B16" i="32"/>
  <c r="A16" i="32"/>
  <c r="M15" i="32"/>
  <c r="L15" i="32"/>
  <c r="K15" i="32"/>
  <c r="J15" i="32"/>
  <c r="I15" i="32"/>
  <c r="H15" i="32"/>
  <c r="C15" i="32"/>
  <c r="B15" i="32"/>
  <c r="A15" i="32"/>
  <c r="M14" i="32"/>
  <c r="L14" i="32"/>
  <c r="K14" i="32"/>
  <c r="J14" i="32"/>
  <c r="I14" i="32"/>
  <c r="H14" i="32"/>
  <c r="C14" i="32"/>
  <c r="B14" i="32"/>
  <c r="A14" i="32"/>
  <c r="M13" i="32"/>
  <c r="L13" i="32"/>
  <c r="K13" i="32"/>
  <c r="J13" i="32"/>
  <c r="I13" i="32"/>
  <c r="H13" i="32"/>
  <c r="C13" i="32"/>
  <c r="B13" i="32"/>
  <c r="A13" i="32"/>
  <c r="M12" i="32"/>
  <c r="L12" i="32"/>
  <c r="K12" i="32"/>
  <c r="J12" i="32"/>
  <c r="I12" i="32"/>
  <c r="H12" i="32"/>
  <c r="C12" i="32"/>
  <c r="B12" i="32"/>
  <c r="A12" i="32"/>
  <c r="M11" i="32"/>
  <c r="M27" i="32" s="1"/>
  <c r="G56" i="32" s="1"/>
  <c r="L11" i="32"/>
  <c r="K11" i="32"/>
  <c r="K27" i="32" s="1"/>
  <c r="F56" i="32" s="1"/>
  <c r="J11" i="32"/>
  <c r="I11" i="32"/>
  <c r="I27" i="32" s="1"/>
  <c r="E56" i="32" s="1"/>
  <c r="H11" i="32"/>
  <c r="C11" i="32"/>
  <c r="B56" i="32" s="1"/>
  <c r="B11" i="32"/>
  <c r="A11" i="32"/>
  <c r="M10" i="32"/>
  <c r="L10" i="32"/>
  <c r="K10" i="32"/>
  <c r="J10" i="32"/>
  <c r="I10" i="32"/>
  <c r="H10" i="32"/>
  <c r="C10" i="32"/>
  <c r="B10" i="32"/>
  <c r="A10" i="32"/>
  <c r="M9" i="32"/>
  <c r="L9" i="32"/>
  <c r="K9" i="32"/>
  <c r="J9" i="32"/>
  <c r="I9" i="32"/>
  <c r="H9" i="32"/>
  <c r="C9" i="32"/>
  <c r="B9" i="32"/>
  <c r="A9" i="32"/>
  <c r="M8" i="32"/>
  <c r="L8" i="32"/>
  <c r="M31" i="32" s="1"/>
  <c r="G60" i="32" s="1"/>
  <c r="K8" i="32"/>
  <c r="J8" i="32"/>
  <c r="K31" i="32" s="1"/>
  <c r="F60" i="32" s="1"/>
  <c r="I8" i="32"/>
  <c r="H8" i="32"/>
  <c r="I31" i="32" s="1"/>
  <c r="E60" i="32" s="1"/>
  <c r="C8" i="32"/>
  <c r="B8" i="32"/>
  <c r="A8" i="32"/>
  <c r="M7" i="32"/>
  <c r="L7" i="32"/>
  <c r="K7" i="32"/>
  <c r="J7" i="32"/>
  <c r="I7" i="32"/>
  <c r="H7" i="32"/>
  <c r="C7" i="32"/>
  <c r="B7" i="32"/>
  <c r="A7" i="32"/>
  <c r="M6" i="32"/>
  <c r="L6" i="32"/>
  <c r="M33" i="32" s="1"/>
  <c r="G62" i="32" s="1"/>
  <c r="K6" i="32"/>
  <c r="J6" i="32"/>
  <c r="K33" i="32" s="1"/>
  <c r="F62" i="32" s="1"/>
  <c r="I6" i="32"/>
  <c r="H6" i="32"/>
  <c r="I33" i="32" s="1"/>
  <c r="E62" i="32" s="1"/>
  <c r="C6" i="32"/>
  <c r="B6" i="32"/>
  <c r="A6" i="32"/>
  <c r="M5" i="32"/>
  <c r="L5" i="32"/>
  <c r="M32" i="32" s="1"/>
  <c r="K5" i="32"/>
  <c r="J5" i="32"/>
  <c r="K32" i="32" s="1"/>
  <c r="F61" i="32" s="1"/>
  <c r="I5" i="32"/>
  <c r="H5" i="32"/>
  <c r="I32" i="32" s="1"/>
  <c r="E61" i="32" s="1"/>
  <c r="C5" i="32"/>
  <c r="B5" i="32"/>
  <c r="A5" i="32"/>
  <c r="M4" i="32"/>
  <c r="M26" i="32" s="1"/>
  <c r="G55" i="32" s="1"/>
  <c r="L4" i="32"/>
  <c r="K4" i="32"/>
  <c r="K26" i="32" s="1"/>
  <c r="F55" i="32" s="1"/>
  <c r="J4" i="32"/>
  <c r="I4" i="32"/>
  <c r="I26" i="32" s="1"/>
  <c r="E55" i="32" s="1"/>
  <c r="H4" i="32"/>
  <c r="C4" i="32"/>
  <c r="B4" i="32"/>
  <c r="A4" i="32"/>
  <c r="M3" i="32"/>
  <c r="L3" i="32"/>
  <c r="K3" i="32"/>
  <c r="J3" i="32"/>
  <c r="I3" i="32"/>
  <c r="H3" i="32"/>
  <c r="C3" i="32"/>
  <c r="B3" i="32"/>
  <c r="A3" i="32"/>
  <c r="M2" i="32"/>
  <c r="L2" i="32"/>
  <c r="K2" i="32"/>
  <c r="J2" i="32"/>
  <c r="I2" i="32"/>
  <c r="H2" i="32"/>
  <c r="G2" i="32"/>
  <c r="F2" i="32"/>
  <c r="E2" i="32"/>
  <c r="D2" i="32"/>
  <c r="C2" i="32"/>
  <c r="B2" i="32"/>
  <c r="A2" i="32"/>
  <c r="L1" i="32"/>
  <c r="J1" i="32"/>
  <c r="H1" i="32"/>
  <c r="F1" i="32"/>
  <c r="D1" i="32"/>
  <c r="B1" i="32"/>
  <c r="A1" i="32"/>
  <c r="A62" i="31"/>
  <c r="A61" i="31"/>
  <c r="A60" i="31"/>
  <c r="G59" i="31"/>
  <c r="F59" i="31"/>
  <c r="E59" i="31"/>
  <c r="D59" i="31"/>
  <c r="C59" i="31"/>
  <c r="B59" i="31"/>
  <c r="A57" i="31"/>
  <c r="A56" i="31"/>
  <c r="A55" i="31"/>
  <c r="G54" i="31"/>
  <c r="F54" i="31"/>
  <c r="E54" i="31"/>
  <c r="D54" i="31"/>
  <c r="C54" i="31"/>
  <c r="B54" i="31"/>
  <c r="A52" i="31"/>
  <c r="A51" i="31"/>
  <c r="A50" i="31"/>
  <c r="G49" i="31"/>
  <c r="F49" i="31"/>
  <c r="E49" i="31"/>
  <c r="D49" i="31"/>
  <c r="C49" i="31"/>
  <c r="B49" i="31"/>
  <c r="A47" i="31"/>
  <c r="A46" i="31"/>
  <c r="A45" i="31"/>
  <c r="G44" i="31"/>
  <c r="F44" i="31"/>
  <c r="E44" i="31"/>
  <c r="D44" i="31"/>
  <c r="C44" i="31"/>
  <c r="B44" i="31"/>
  <c r="M30" i="31"/>
  <c r="K30" i="31"/>
  <c r="I30" i="31"/>
  <c r="G30" i="31"/>
  <c r="E30" i="31"/>
  <c r="C30" i="31"/>
  <c r="L37" i="31"/>
  <c r="M25" i="31"/>
  <c r="K25" i="31"/>
  <c r="I25" i="31"/>
  <c r="G25" i="31"/>
  <c r="E25" i="31"/>
  <c r="C25" i="31"/>
  <c r="R19" i="15"/>
  <c r="R20" i="15"/>
  <c r="R21" i="15"/>
  <c r="R22" i="15"/>
  <c r="R13" i="15"/>
  <c r="R14" i="15"/>
  <c r="R15" i="15"/>
  <c r="R16" i="15"/>
  <c r="R6" i="15"/>
  <c r="R7" i="15"/>
  <c r="R8" i="15"/>
  <c r="R9" i="15"/>
  <c r="O29" i="11"/>
  <c r="O28" i="11"/>
  <c r="O28" i="15"/>
  <c r="O27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M9" i="15"/>
  <c r="L9" i="15"/>
  <c r="K9" i="15"/>
  <c r="J9" i="15"/>
  <c r="I9" i="15"/>
  <c r="H9" i="15"/>
  <c r="G9" i="15"/>
  <c r="F9" i="15"/>
  <c r="E9" i="15"/>
  <c r="D9" i="15"/>
  <c r="C9" i="15"/>
  <c r="B9" i="15"/>
  <c r="M8" i="15"/>
  <c r="L8" i="15"/>
  <c r="K8" i="15"/>
  <c r="J8" i="15"/>
  <c r="I8" i="15"/>
  <c r="H8" i="15"/>
  <c r="G8" i="15"/>
  <c r="F8" i="15"/>
  <c r="E8" i="15"/>
  <c r="D8" i="15"/>
  <c r="C8" i="15"/>
  <c r="B8" i="15"/>
  <c r="M7" i="15"/>
  <c r="L7" i="15"/>
  <c r="K7" i="15"/>
  <c r="J7" i="15"/>
  <c r="I7" i="15"/>
  <c r="H7" i="15"/>
  <c r="G7" i="15"/>
  <c r="F7" i="15"/>
  <c r="E7" i="15"/>
  <c r="D7" i="15"/>
  <c r="C7" i="15"/>
  <c r="B7" i="15"/>
  <c r="M6" i="15"/>
  <c r="L6" i="15"/>
  <c r="K6" i="15"/>
  <c r="J6" i="15"/>
  <c r="I6" i="15"/>
  <c r="H6" i="15"/>
  <c r="G6" i="15"/>
  <c r="F6" i="15"/>
  <c r="E6" i="15"/>
  <c r="D6" i="15"/>
  <c r="C6" i="15"/>
  <c r="B6" i="15"/>
  <c r="M5" i="15"/>
  <c r="L5" i="15"/>
  <c r="K5" i="15"/>
  <c r="J5" i="15"/>
  <c r="I5" i="15"/>
  <c r="H5" i="15"/>
  <c r="G5" i="15"/>
  <c r="F5" i="15"/>
  <c r="E5" i="15"/>
  <c r="D5" i="15"/>
  <c r="C5" i="15"/>
  <c r="B5" i="15"/>
  <c r="M4" i="15"/>
  <c r="L4" i="15"/>
  <c r="K4" i="15"/>
  <c r="J4" i="15"/>
  <c r="I4" i="15"/>
  <c r="H4" i="15"/>
  <c r="G4" i="15"/>
  <c r="F4" i="15"/>
  <c r="E4" i="15"/>
  <c r="D4" i="15"/>
  <c r="C4" i="15"/>
  <c r="B4" i="15"/>
  <c r="M3" i="15"/>
  <c r="L3" i="15"/>
  <c r="K3" i="15"/>
  <c r="J3" i="15"/>
  <c r="I3" i="15"/>
  <c r="H3" i="15"/>
  <c r="G3" i="15"/>
  <c r="F3" i="15"/>
  <c r="E3" i="15"/>
  <c r="D3" i="15"/>
  <c r="C3" i="15"/>
  <c r="B3" i="15"/>
  <c r="O28" i="13"/>
  <c r="O27" i="13"/>
  <c r="M22" i="13"/>
  <c r="L22" i="13"/>
  <c r="K22" i="13"/>
  <c r="J22" i="13"/>
  <c r="I22" i="13"/>
  <c r="H22" i="13"/>
  <c r="C22" i="13"/>
  <c r="M21" i="13"/>
  <c r="L21" i="13"/>
  <c r="K21" i="13"/>
  <c r="J21" i="13"/>
  <c r="I21" i="13"/>
  <c r="H21" i="13"/>
  <c r="C21" i="13"/>
  <c r="M20" i="13"/>
  <c r="L20" i="13"/>
  <c r="K20" i="13"/>
  <c r="J20" i="13"/>
  <c r="I20" i="13"/>
  <c r="H20" i="13"/>
  <c r="C20" i="13"/>
  <c r="M19" i="13"/>
  <c r="L19" i="13"/>
  <c r="K19" i="13"/>
  <c r="J19" i="13"/>
  <c r="I19" i="13"/>
  <c r="H19" i="13"/>
  <c r="C19" i="13"/>
  <c r="M18" i="13"/>
  <c r="L18" i="13"/>
  <c r="K18" i="13"/>
  <c r="J18" i="13"/>
  <c r="I18" i="13"/>
  <c r="H18" i="13"/>
  <c r="C18" i="13"/>
  <c r="M17" i="13"/>
  <c r="L17" i="13"/>
  <c r="K17" i="13"/>
  <c r="J17" i="13"/>
  <c r="I17" i="13"/>
  <c r="H17" i="13"/>
  <c r="C17" i="13"/>
  <c r="M16" i="13"/>
  <c r="L16" i="13"/>
  <c r="K16" i="13"/>
  <c r="J16" i="13"/>
  <c r="I16" i="13"/>
  <c r="H16" i="13"/>
  <c r="C16" i="13"/>
  <c r="M15" i="13"/>
  <c r="L15" i="13"/>
  <c r="K15" i="13"/>
  <c r="J15" i="13"/>
  <c r="I15" i="13"/>
  <c r="H15" i="13"/>
  <c r="C15" i="13"/>
  <c r="M14" i="13"/>
  <c r="L14" i="13"/>
  <c r="K14" i="13"/>
  <c r="J14" i="13"/>
  <c r="I14" i="13"/>
  <c r="H14" i="13"/>
  <c r="C14" i="13"/>
  <c r="M13" i="13"/>
  <c r="L13" i="13"/>
  <c r="K13" i="13"/>
  <c r="J13" i="13"/>
  <c r="I13" i="13"/>
  <c r="H13" i="13"/>
  <c r="C13" i="13"/>
  <c r="M12" i="13"/>
  <c r="L12" i="13"/>
  <c r="K12" i="13"/>
  <c r="J12" i="13"/>
  <c r="I12" i="13"/>
  <c r="H12" i="13"/>
  <c r="C12" i="13"/>
  <c r="M11" i="13"/>
  <c r="L11" i="13"/>
  <c r="K11" i="13"/>
  <c r="J11" i="13"/>
  <c r="I11" i="13"/>
  <c r="H11" i="13"/>
  <c r="C11" i="13"/>
  <c r="M10" i="13"/>
  <c r="L10" i="13"/>
  <c r="K10" i="13"/>
  <c r="J10" i="13"/>
  <c r="I10" i="13"/>
  <c r="H10" i="13"/>
  <c r="C10" i="13"/>
  <c r="M9" i="13"/>
  <c r="L9" i="13"/>
  <c r="K9" i="13"/>
  <c r="J9" i="13"/>
  <c r="I9" i="13"/>
  <c r="H9" i="13"/>
  <c r="C9" i="13"/>
  <c r="M8" i="13"/>
  <c r="L8" i="13"/>
  <c r="K8" i="13"/>
  <c r="J8" i="13"/>
  <c r="I8" i="13"/>
  <c r="H8" i="13"/>
  <c r="C8" i="13"/>
  <c r="M7" i="13"/>
  <c r="L7" i="13"/>
  <c r="K7" i="13"/>
  <c r="J7" i="13"/>
  <c r="I7" i="13"/>
  <c r="H7" i="13"/>
  <c r="C7" i="13"/>
  <c r="M6" i="13"/>
  <c r="L6" i="13"/>
  <c r="K6" i="13"/>
  <c r="J6" i="13"/>
  <c r="I6" i="13"/>
  <c r="H6" i="13"/>
  <c r="C6" i="13"/>
  <c r="M5" i="13"/>
  <c r="L5" i="13"/>
  <c r="K5" i="13"/>
  <c r="J5" i="13"/>
  <c r="I5" i="13"/>
  <c r="H5" i="13"/>
  <c r="C5" i="13"/>
  <c r="M4" i="13"/>
  <c r="L4" i="13"/>
  <c r="K4" i="13"/>
  <c r="J4" i="13"/>
  <c r="I4" i="13"/>
  <c r="H4" i="13"/>
  <c r="C4" i="13"/>
  <c r="M3" i="13"/>
  <c r="L3" i="13"/>
  <c r="K3" i="13"/>
  <c r="J3" i="13"/>
  <c r="I3" i="13"/>
  <c r="H3" i="13"/>
  <c r="C3" i="13"/>
  <c r="A31" i="13"/>
  <c r="A30" i="13"/>
  <c r="A29" i="13"/>
  <c r="A28" i="13"/>
  <c r="A27" i="13"/>
  <c r="A26" i="13"/>
  <c r="C9" i="22"/>
  <c r="B13" i="22"/>
  <c r="C10" i="22" s="1"/>
  <c r="A31" i="11"/>
  <c r="A30" i="11"/>
  <c r="A29" i="11"/>
  <c r="A28" i="11"/>
  <c r="A27" i="11"/>
  <c r="A26" i="11"/>
  <c r="B13" i="21"/>
  <c r="C5" i="21" s="1"/>
  <c r="E3" i="20"/>
  <c r="B13" i="20"/>
  <c r="A27" i="15"/>
  <c r="A28" i="15"/>
  <c r="A29" i="15"/>
  <c r="A30" i="15"/>
  <c r="A31" i="15"/>
  <c r="A26" i="15"/>
  <c r="E21" i="22"/>
  <c r="E18" i="22"/>
  <c r="G22" i="22"/>
  <c r="D23" i="22"/>
  <c r="E20" i="21"/>
  <c r="E21" i="21"/>
  <c r="E22" i="21"/>
  <c r="D23" i="21"/>
  <c r="E23" i="21" l="1"/>
  <c r="F23" i="21" s="1"/>
  <c r="B88" i="39"/>
  <c r="C88" i="39" s="1"/>
  <c r="B88" i="38"/>
  <c r="C88" i="38" s="1"/>
  <c r="E19" i="22"/>
  <c r="E18" i="21"/>
  <c r="D31" i="11"/>
  <c r="D88" i="25"/>
  <c r="G19" i="21"/>
  <c r="B31" i="11"/>
  <c r="C31" i="11" s="1"/>
  <c r="B88" i="25"/>
  <c r="C88" i="25" s="1"/>
  <c r="E23" i="22"/>
  <c r="E22" i="22"/>
  <c r="G18" i="21"/>
  <c r="B31" i="13"/>
  <c r="C31" i="13" s="1"/>
  <c r="C32" i="32"/>
  <c r="B61" i="32" s="1"/>
  <c r="C31" i="32"/>
  <c r="B60" i="32" s="1"/>
  <c r="C26" i="32"/>
  <c r="B55" i="32" s="1"/>
  <c r="C28" i="32"/>
  <c r="B57" i="32" s="1"/>
  <c r="C33" i="32"/>
  <c r="B62" i="32" s="1"/>
  <c r="G61" i="32"/>
  <c r="N32" i="32"/>
  <c r="G20" i="22"/>
  <c r="F23" i="22"/>
  <c r="E19" i="21"/>
  <c r="D22" i="22"/>
  <c r="G20" i="21"/>
  <c r="E20" i="22"/>
  <c r="P17" i="15"/>
  <c r="P3" i="15"/>
  <c r="P4" i="15"/>
  <c r="P10" i="15"/>
  <c r="P11" i="15"/>
  <c r="C8" i="22"/>
  <c r="C7" i="22"/>
  <c r="C6" i="22"/>
  <c r="C5" i="22"/>
  <c r="C2" i="22"/>
  <c r="C4" i="22"/>
  <c r="C11" i="22"/>
  <c r="C3" i="22"/>
  <c r="D19" i="22"/>
  <c r="D18" i="22"/>
  <c r="D21" i="22"/>
  <c r="G23" i="22"/>
  <c r="C2" i="21"/>
  <c r="C10" i="21"/>
  <c r="C9" i="21"/>
  <c r="C11" i="21"/>
  <c r="D11" i="21" s="1"/>
  <c r="C7" i="21"/>
  <c r="C3" i="21"/>
  <c r="C4" i="21"/>
  <c r="G22" i="21"/>
  <c r="G21" i="21"/>
  <c r="C8" i="21"/>
  <c r="C6" i="21"/>
  <c r="D22" i="21"/>
  <c r="D21" i="21"/>
  <c r="B86" i="25" s="1"/>
  <c r="C86" i="25" s="1"/>
  <c r="E86" i="25" s="1"/>
  <c r="D20" i="22"/>
  <c r="G23" i="21"/>
  <c r="G18" i="22"/>
  <c r="G21" i="22"/>
  <c r="D18" i="21"/>
  <c r="B83" i="25" s="1"/>
  <c r="C83" i="25" s="1"/>
  <c r="E83" i="25" s="1"/>
  <c r="D20" i="21"/>
  <c r="B85" i="25" s="1"/>
  <c r="C85" i="25" s="1"/>
  <c r="E85" i="25" s="1"/>
  <c r="G19" i="22"/>
  <c r="D19" i="21"/>
  <c r="B84" i="25" s="1"/>
  <c r="C84" i="25" s="1"/>
  <c r="E84" i="25" s="1"/>
  <c r="C7" i="20"/>
  <c r="C8" i="20"/>
  <c r="C2" i="20"/>
  <c r="C10" i="20"/>
  <c r="C3" i="20"/>
  <c r="C11" i="20"/>
  <c r="D11" i="20" s="1"/>
  <c r="C9" i="20"/>
  <c r="C4" i="20"/>
  <c r="C5" i="20"/>
  <c r="C6" i="20"/>
  <c r="D23" i="20"/>
  <c r="D88" i="38" l="1"/>
  <c r="D88" i="39"/>
  <c r="B30" i="11"/>
  <c r="C30" i="11" s="1"/>
  <c r="B35" i="26" s="1"/>
  <c r="B87" i="25"/>
  <c r="C87" i="25" s="1"/>
  <c r="E91" i="25"/>
  <c r="B86" i="38"/>
  <c r="C86" i="38" s="1"/>
  <c r="E86" i="38" s="1"/>
  <c r="B86" i="39"/>
  <c r="C86" i="39" s="1"/>
  <c r="E86" i="39" s="1"/>
  <c r="I86" i="39" s="1"/>
  <c r="B87" i="39"/>
  <c r="C87" i="39" s="1"/>
  <c r="B87" i="38"/>
  <c r="C87" i="38" s="1"/>
  <c r="B88" i="35"/>
  <c r="C88" i="35" s="1"/>
  <c r="B88" i="37"/>
  <c r="C88" i="37" s="1"/>
  <c r="B85" i="39"/>
  <c r="C85" i="39" s="1"/>
  <c r="E85" i="39" s="1"/>
  <c r="B85" i="38"/>
  <c r="C85" i="38" s="1"/>
  <c r="E85" i="38" s="1"/>
  <c r="B83" i="39"/>
  <c r="C83" i="39" s="1"/>
  <c r="E83" i="39" s="1"/>
  <c r="B83" i="38"/>
  <c r="C83" i="38" s="1"/>
  <c r="E83" i="38" s="1"/>
  <c r="B84" i="38"/>
  <c r="C84" i="38" s="1"/>
  <c r="E84" i="38" s="1"/>
  <c r="B84" i="39"/>
  <c r="C84" i="39" s="1"/>
  <c r="E84" i="39" s="1"/>
  <c r="D31" i="13"/>
  <c r="F22" i="21"/>
  <c r="K22" i="20"/>
  <c r="L22" i="20" s="1"/>
  <c r="E22" i="20"/>
  <c r="H18" i="22"/>
  <c r="F18" i="22"/>
  <c r="B26" i="13"/>
  <c r="C26" i="13" s="1"/>
  <c r="B31" i="40" s="1"/>
  <c r="E21" i="20"/>
  <c r="K21" i="20"/>
  <c r="L21" i="20" s="1"/>
  <c r="B28" i="11"/>
  <c r="C28" i="11" s="1"/>
  <c r="H20" i="21"/>
  <c r="H19" i="22"/>
  <c r="F19" i="22"/>
  <c r="B27" i="13"/>
  <c r="C27" i="13" s="1"/>
  <c r="B32" i="40" s="1"/>
  <c r="F20" i="21"/>
  <c r="E18" i="20"/>
  <c r="K18" i="20"/>
  <c r="L18" i="20" s="1"/>
  <c r="B28" i="13"/>
  <c r="C28" i="13" s="1"/>
  <c r="B33" i="40" s="1"/>
  <c r="H20" i="22"/>
  <c r="F20" i="22"/>
  <c r="F22" i="22"/>
  <c r="B30" i="13"/>
  <c r="C30" i="13" s="1"/>
  <c r="H21" i="21"/>
  <c r="B29" i="11"/>
  <c r="C29" i="11" s="1"/>
  <c r="F19" i="21"/>
  <c r="B31" i="15"/>
  <c r="C31" i="15" s="1"/>
  <c r="K20" i="20"/>
  <c r="L20" i="20" s="1"/>
  <c r="E20" i="20"/>
  <c r="B26" i="11"/>
  <c r="C26" i="11" s="1"/>
  <c r="H18" i="21"/>
  <c r="F18" i="21"/>
  <c r="E23" i="20"/>
  <c r="F23" i="20" s="1"/>
  <c r="K23" i="20"/>
  <c r="L23" i="20" s="1"/>
  <c r="M23" i="20" s="1"/>
  <c r="N23" i="20" s="1"/>
  <c r="O23" i="20" s="1"/>
  <c r="H19" i="21"/>
  <c r="B27" i="11"/>
  <c r="C27" i="11" s="1"/>
  <c r="H21" i="22"/>
  <c r="F21" i="22"/>
  <c r="B29" i="13"/>
  <c r="C29" i="13" s="1"/>
  <c r="B34" i="40" s="1"/>
  <c r="E19" i="20"/>
  <c r="K19" i="20"/>
  <c r="L19" i="20" s="1"/>
  <c r="F21" i="21"/>
  <c r="D10" i="21"/>
  <c r="D9" i="21" s="1"/>
  <c r="C13" i="22"/>
  <c r="C13" i="21"/>
  <c r="D8" i="21"/>
  <c r="D7" i="21" s="1"/>
  <c r="D6" i="21" s="1"/>
  <c r="D5" i="21" s="1"/>
  <c r="D4" i="21" s="1"/>
  <c r="D3" i="21" s="1"/>
  <c r="D2" i="21" s="1"/>
  <c r="D10" i="20"/>
  <c r="D9" i="20" s="1"/>
  <c r="D8" i="20" s="1"/>
  <c r="D7" i="20" s="1"/>
  <c r="D6" i="20" s="1"/>
  <c r="D5" i="20" s="1"/>
  <c r="D4" i="20" s="1"/>
  <c r="D3" i="20" s="1"/>
  <c r="D2" i="20" s="1"/>
  <c r="C13" i="20"/>
  <c r="D18" i="20"/>
  <c r="G21" i="20"/>
  <c r="D20" i="20"/>
  <c r="D19" i="20"/>
  <c r="G23" i="20"/>
  <c r="G22" i="20"/>
  <c r="G20" i="20"/>
  <c r="D22" i="20"/>
  <c r="G19" i="20"/>
  <c r="D21" i="20"/>
  <c r="G18" i="20"/>
  <c r="C5" i="5"/>
  <c r="G3" i="20"/>
  <c r="G4" i="20"/>
  <c r="G5" i="20"/>
  <c r="G6" i="20"/>
  <c r="G7" i="20"/>
  <c r="G8" i="20"/>
  <c r="G4" i="22"/>
  <c r="G5" i="22"/>
  <c r="G8" i="22"/>
  <c r="G3" i="22"/>
  <c r="A17" i="26"/>
  <c r="M22" i="20" l="1"/>
  <c r="N22" i="20" s="1"/>
  <c r="D85" i="39"/>
  <c r="D85" i="38"/>
  <c r="I85" i="39"/>
  <c r="D87" i="39"/>
  <c r="D87" i="38"/>
  <c r="B85" i="35"/>
  <c r="C85" i="35" s="1"/>
  <c r="E85" i="35" s="1"/>
  <c r="B85" i="37"/>
  <c r="C85" i="37" s="1"/>
  <c r="E85" i="37" s="1"/>
  <c r="D33" i="40"/>
  <c r="F33" i="40"/>
  <c r="L6" i="40" s="1"/>
  <c r="E33" i="40"/>
  <c r="I84" i="39"/>
  <c r="B86" i="37"/>
  <c r="C86" i="37" s="1"/>
  <c r="E86" i="37" s="1"/>
  <c r="B86" i="35"/>
  <c r="C86" i="35" s="1"/>
  <c r="E86" i="35" s="1"/>
  <c r="D29" i="11"/>
  <c r="D86" i="25"/>
  <c r="D27" i="11"/>
  <c r="D84" i="25"/>
  <c r="D30" i="11"/>
  <c r="D87" i="25"/>
  <c r="D84" i="39"/>
  <c r="D84" i="38"/>
  <c r="B84" i="35"/>
  <c r="C84" i="35" s="1"/>
  <c r="E84" i="35" s="1"/>
  <c r="B84" i="37"/>
  <c r="C84" i="37" s="1"/>
  <c r="E84" i="37" s="1"/>
  <c r="B83" i="35"/>
  <c r="C83" i="35" s="1"/>
  <c r="E83" i="35" s="1"/>
  <c r="B83" i="37"/>
  <c r="C83" i="37" s="1"/>
  <c r="E83" i="37" s="1"/>
  <c r="D88" i="37"/>
  <c r="D88" i="35"/>
  <c r="E91" i="38"/>
  <c r="D86" i="38"/>
  <c r="D86" i="39"/>
  <c r="J86" i="39" s="1"/>
  <c r="B87" i="35"/>
  <c r="C87" i="35" s="1"/>
  <c r="B87" i="37"/>
  <c r="C87" i="37" s="1"/>
  <c r="D26" i="11"/>
  <c r="D83" i="25"/>
  <c r="D28" i="11"/>
  <c r="D85" i="25"/>
  <c r="D31" i="40"/>
  <c r="F31" i="40"/>
  <c r="B37" i="40"/>
  <c r="E31" i="40"/>
  <c r="I83" i="39"/>
  <c r="I91" i="39" s="1"/>
  <c r="E91" i="39"/>
  <c r="K85" i="39" s="1"/>
  <c r="E34" i="40"/>
  <c r="D34" i="40"/>
  <c r="F34" i="40"/>
  <c r="L7" i="40" s="1"/>
  <c r="B35" i="40"/>
  <c r="D32" i="40"/>
  <c r="F32" i="40"/>
  <c r="L5" i="40" s="1"/>
  <c r="E32" i="40"/>
  <c r="D83" i="39"/>
  <c r="D83" i="38"/>
  <c r="D26" i="13"/>
  <c r="E26" i="11"/>
  <c r="B31" i="26"/>
  <c r="D27" i="13"/>
  <c r="D28" i="13"/>
  <c r="E27" i="11"/>
  <c r="B32" i="26"/>
  <c r="E28" i="11"/>
  <c r="B33" i="26"/>
  <c r="M18" i="20"/>
  <c r="N18" i="20" s="1"/>
  <c r="O18" i="20" s="1"/>
  <c r="M21" i="20"/>
  <c r="N21" i="20" s="1"/>
  <c r="O21" i="20" s="1"/>
  <c r="M19" i="20"/>
  <c r="N19" i="20" s="1"/>
  <c r="O19" i="20" s="1"/>
  <c r="E29" i="11"/>
  <c r="B34" i="26"/>
  <c r="D29" i="13"/>
  <c r="D30" i="13"/>
  <c r="H23" i="22"/>
  <c r="H7" i="22" s="1"/>
  <c r="P23" i="20"/>
  <c r="D31" i="15"/>
  <c r="H2" i="22"/>
  <c r="O85" i="38" s="1"/>
  <c r="O22" i="20"/>
  <c r="F18" i="20"/>
  <c r="E28" i="13"/>
  <c r="F21" i="20"/>
  <c r="E29" i="13"/>
  <c r="H23" i="21"/>
  <c r="E26" i="13"/>
  <c r="E27" i="13"/>
  <c r="B30" i="15"/>
  <c r="C30" i="15" s="1"/>
  <c r="B35" i="36" s="1"/>
  <c r="F22" i="20"/>
  <c r="F19" i="20"/>
  <c r="F20" i="20"/>
  <c r="M20" i="20"/>
  <c r="N20" i="20" s="1"/>
  <c r="O20" i="20" s="1"/>
  <c r="A18" i="26"/>
  <c r="B27" i="15"/>
  <c r="C27" i="15" s="1"/>
  <c r="B32" i="36" s="1"/>
  <c r="H19" i="20"/>
  <c r="B28" i="15"/>
  <c r="C28" i="15" s="1"/>
  <c r="B33" i="36" s="1"/>
  <c r="H20" i="20"/>
  <c r="B29" i="15"/>
  <c r="C29" i="15" s="1"/>
  <c r="B34" i="36" s="1"/>
  <c r="H21" i="20"/>
  <c r="B26" i="15"/>
  <c r="C26" i="15" s="1"/>
  <c r="B31" i="36" s="1"/>
  <c r="H18" i="20"/>
  <c r="P20" i="20" l="1"/>
  <c r="E35" i="13"/>
  <c r="H3" i="22"/>
  <c r="H4" i="22"/>
  <c r="H5" i="22"/>
  <c r="E21" i="38"/>
  <c r="E19" i="38"/>
  <c r="E17" i="38"/>
  <c r="E15" i="38"/>
  <c r="E13" i="38"/>
  <c r="E11" i="38"/>
  <c r="E9" i="38"/>
  <c r="E7" i="38"/>
  <c r="E5" i="38"/>
  <c r="E3" i="38"/>
  <c r="D21" i="38"/>
  <c r="D19" i="38"/>
  <c r="D17" i="38"/>
  <c r="D15" i="38"/>
  <c r="D13" i="38"/>
  <c r="D11" i="38"/>
  <c r="D9" i="38"/>
  <c r="D7" i="38"/>
  <c r="D5" i="38"/>
  <c r="D3" i="38"/>
  <c r="E22" i="38"/>
  <c r="E20" i="38"/>
  <c r="E18" i="38"/>
  <c r="E16" i="38"/>
  <c r="E14" i="38"/>
  <c r="E12" i="38"/>
  <c r="E10" i="38"/>
  <c r="E8" i="38"/>
  <c r="E6" i="38"/>
  <c r="E4" i="38"/>
  <c r="D20" i="38"/>
  <c r="D12" i="38"/>
  <c r="D4" i="38"/>
  <c r="D16" i="38"/>
  <c r="D8" i="38"/>
  <c r="D22" i="38"/>
  <c r="D14" i="38"/>
  <c r="D6" i="38"/>
  <c r="D18" i="38"/>
  <c r="D10" i="38"/>
  <c r="E91" i="37"/>
  <c r="E92" i="37" s="1"/>
  <c r="I83" i="37"/>
  <c r="K83" i="37"/>
  <c r="D33" i="36"/>
  <c r="E33" i="36"/>
  <c r="F33" i="36"/>
  <c r="L6" i="36" s="1"/>
  <c r="H9" i="22"/>
  <c r="H6" i="22"/>
  <c r="J83" i="39"/>
  <c r="D37" i="40"/>
  <c r="L4" i="40"/>
  <c r="E91" i="35"/>
  <c r="D30" i="15"/>
  <c r="D87" i="35"/>
  <c r="C35" i="36" s="1"/>
  <c r="D87" i="37"/>
  <c r="F35" i="36"/>
  <c r="E32" i="36"/>
  <c r="F32" i="36"/>
  <c r="L5" i="36" s="1"/>
  <c r="D32" i="36"/>
  <c r="H10" i="22"/>
  <c r="D29" i="15"/>
  <c r="D86" i="37"/>
  <c r="D86" i="35"/>
  <c r="C34" i="36" s="1"/>
  <c r="H23" i="20"/>
  <c r="I22" i="38"/>
  <c r="I20" i="38"/>
  <c r="I18" i="38"/>
  <c r="I16" i="38"/>
  <c r="I14" i="38"/>
  <c r="I12" i="38"/>
  <c r="I10" i="38"/>
  <c r="I8" i="38"/>
  <c r="I6" i="38"/>
  <c r="I4" i="38"/>
  <c r="H22" i="38"/>
  <c r="H20" i="38"/>
  <c r="H18" i="38"/>
  <c r="H16" i="38"/>
  <c r="H14" i="38"/>
  <c r="H12" i="38"/>
  <c r="H10" i="38"/>
  <c r="H8" i="38"/>
  <c r="H6" i="38"/>
  <c r="H4" i="38"/>
  <c r="I21" i="38"/>
  <c r="I19" i="38"/>
  <c r="I17" i="38"/>
  <c r="I15" i="38"/>
  <c r="I13" i="38"/>
  <c r="I11" i="38"/>
  <c r="I9" i="38"/>
  <c r="I7" i="38"/>
  <c r="I5" i="38"/>
  <c r="I3" i="38"/>
  <c r="H17" i="38"/>
  <c r="H9" i="38"/>
  <c r="H19" i="38"/>
  <c r="H11" i="38"/>
  <c r="H3" i="38"/>
  <c r="H21" i="38"/>
  <c r="H13" i="38"/>
  <c r="H5" i="38"/>
  <c r="H15" i="38"/>
  <c r="H7" i="38"/>
  <c r="K86" i="39"/>
  <c r="E92" i="39"/>
  <c r="L86" i="39" s="1"/>
  <c r="I84" i="37"/>
  <c r="D31" i="36"/>
  <c r="F31" i="36"/>
  <c r="E31" i="36"/>
  <c r="B37" i="36"/>
  <c r="H8" i="22"/>
  <c r="P18" i="20"/>
  <c r="I92" i="39"/>
  <c r="J84" i="39"/>
  <c r="L84" i="39"/>
  <c r="K86" i="37"/>
  <c r="I86" i="37"/>
  <c r="D28" i="15"/>
  <c r="D85" i="37"/>
  <c r="D85" i="35"/>
  <c r="C33" i="36" s="1"/>
  <c r="D26" i="15"/>
  <c r="D83" i="35"/>
  <c r="C31" i="36" s="1"/>
  <c r="D83" i="37"/>
  <c r="H11" i="22"/>
  <c r="F35" i="40"/>
  <c r="K83" i="39"/>
  <c r="I85" i="37"/>
  <c r="J85" i="39"/>
  <c r="M21" i="38"/>
  <c r="M19" i="38"/>
  <c r="M17" i="38"/>
  <c r="M15" i="38"/>
  <c r="M13" i="38"/>
  <c r="M11" i="38"/>
  <c r="M9" i="38"/>
  <c r="M7" i="38"/>
  <c r="M5" i="38"/>
  <c r="M3" i="38"/>
  <c r="L21" i="38"/>
  <c r="L19" i="38"/>
  <c r="L17" i="38"/>
  <c r="L15" i="38"/>
  <c r="L13" i="38"/>
  <c r="L11" i="38"/>
  <c r="L9" i="38"/>
  <c r="L7" i="38"/>
  <c r="L5" i="38"/>
  <c r="L3" i="38"/>
  <c r="M22" i="38"/>
  <c r="M20" i="38"/>
  <c r="M18" i="38"/>
  <c r="M16" i="38"/>
  <c r="M14" i="38"/>
  <c r="M12" i="38"/>
  <c r="M10" i="38"/>
  <c r="M8" i="38"/>
  <c r="M6" i="38"/>
  <c r="M4" i="38"/>
  <c r="L18" i="38"/>
  <c r="L10" i="38"/>
  <c r="L22" i="38"/>
  <c r="L14" i="38"/>
  <c r="L6" i="38"/>
  <c r="L16" i="38"/>
  <c r="L8" i="38"/>
  <c r="L20" i="38"/>
  <c r="L12" i="38"/>
  <c r="L4" i="38"/>
  <c r="J22" i="38"/>
  <c r="J20" i="38"/>
  <c r="J18" i="38"/>
  <c r="J16" i="38"/>
  <c r="J14" i="38"/>
  <c r="J12" i="38"/>
  <c r="J10" i="38"/>
  <c r="J8" i="38"/>
  <c r="J6" i="38"/>
  <c r="J4" i="38"/>
  <c r="K21" i="38"/>
  <c r="K19" i="38"/>
  <c r="K17" i="38"/>
  <c r="K15" i="38"/>
  <c r="K13" i="38"/>
  <c r="K11" i="38"/>
  <c r="K9" i="38"/>
  <c r="K7" i="38"/>
  <c r="K5" i="38"/>
  <c r="K3" i="38"/>
  <c r="J21" i="38"/>
  <c r="J19" i="38"/>
  <c r="J17" i="38"/>
  <c r="J15" i="38"/>
  <c r="J13" i="38"/>
  <c r="J11" i="38"/>
  <c r="J9" i="38"/>
  <c r="J7" i="38"/>
  <c r="J5" i="38"/>
  <c r="J3" i="38"/>
  <c r="K20" i="38"/>
  <c r="K12" i="38"/>
  <c r="K4" i="38"/>
  <c r="K22" i="38"/>
  <c r="K14" i="38"/>
  <c r="K6" i="38"/>
  <c r="K16" i="38"/>
  <c r="K8" i="38"/>
  <c r="K18" i="38"/>
  <c r="K10" i="38"/>
  <c r="D34" i="36"/>
  <c r="E34" i="36"/>
  <c r="F34" i="36"/>
  <c r="L7" i="36" s="1"/>
  <c r="D27" i="15"/>
  <c r="E35" i="15" s="1"/>
  <c r="D84" i="37"/>
  <c r="D84" i="35"/>
  <c r="C32" i="36" s="1"/>
  <c r="T28" i="11"/>
  <c r="V28" i="11" s="1"/>
  <c r="E34" i="11"/>
  <c r="T26" i="11" s="1"/>
  <c r="V26" i="11" s="1"/>
  <c r="K26" i="11"/>
  <c r="E37" i="40"/>
  <c r="L12" i="40" s="1"/>
  <c r="K84" i="39"/>
  <c r="D31" i="26"/>
  <c r="D32" i="26"/>
  <c r="D34" i="26"/>
  <c r="D33" i="26"/>
  <c r="I4" i="22"/>
  <c r="F33" i="26"/>
  <c r="L6" i="26" s="1"/>
  <c r="E33" i="26"/>
  <c r="I8" i="22"/>
  <c r="E34" i="26"/>
  <c r="F34" i="26"/>
  <c r="L7" i="26" s="1"/>
  <c r="F31" i="26"/>
  <c r="E31" i="26"/>
  <c r="B37" i="26"/>
  <c r="F35" i="26"/>
  <c r="E26" i="15"/>
  <c r="E29" i="15"/>
  <c r="E28" i="15"/>
  <c r="P22" i="20"/>
  <c r="I7" i="22"/>
  <c r="I5" i="22"/>
  <c r="F32" i="26"/>
  <c r="L5" i="26" s="1"/>
  <c r="E32" i="26"/>
  <c r="E27" i="15"/>
  <c r="H7" i="21"/>
  <c r="H2" i="21"/>
  <c r="O85" i="25" s="1"/>
  <c r="H9" i="21"/>
  <c r="O86" i="25" s="1"/>
  <c r="H3" i="21"/>
  <c r="H10" i="21"/>
  <c r="H8" i="21"/>
  <c r="H6" i="21"/>
  <c r="H4" i="21"/>
  <c r="H5" i="21"/>
  <c r="H11" i="21"/>
  <c r="J26" i="15"/>
  <c r="D11" i="22"/>
  <c r="P19" i="20"/>
  <c r="J29" i="15"/>
  <c r="J28" i="15"/>
  <c r="P21" i="20"/>
  <c r="E34" i="13"/>
  <c r="H2" i="20"/>
  <c r="O85" i="35" s="1"/>
  <c r="H6" i="20"/>
  <c r="H4" i="20"/>
  <c r="H3" i="20"/>
  <c r="H10" i="20"/>
  <c r="H8" i="20"/>
  <c r="H7" i="20"/>
  <c r="H5" i="20"/>
  <c r="H11" i="20"/>
  <c r="H9" i="20"/>
  <c r="B1" i="22"/>
  <c r="B1" i="21"/>
  <c r="E26" i="38" l="1"/>
  <c r="C55" i="38" s="1"/>
  <c r="T27" i="11"/>
  <c r="V27" i="11" s="1"/>
  <c r="K28" i="38"/>
  <c r="F57" i="38" s="1"/>
  <c r="I32" i="38"/>
  <c r="E61" i="38" s="1"/>
  <c r="E33" i="38"/>
  <c r="C62" i="38" s="1"/>
  <c r="H13" i="22"/>
  <c r="T29" i="11"/>
  <c r="V29" i="11" s="1"/>
  <c r="W26" i="11" s="1"/>
  <c r="D10" i="22"/>
  <c r="D9" i="22" s="1"/>
  <c r="L85" i="39"/>
  <c r="O86" i="35"/>
  <c r="K85" i="37"/>
  <c r="K84" i="37"/>
  <c r="B21" i="25"/>
  <c r="B19" i="25"/>
  <c r="B17" i="25"/>
  <c r="B15" i="25"/>
  <c r="B13" i="25"/>
  <c r="B11" i="25"/>
  <c r="B9" i="25"/>
  <c r="B7" i="25"/>
  <c r="B5" i="25"/>
  <c r="B3" i="25"/>
  <c r="C21" i="25"/>
  <c r="C19" i="25"/>
  <c r="C17" i="25"/>
  <c r="C15" i="25"/>
  <c r="C13" i="25"/>
  <c r="C11" i="25"/>
  <c r="C9" i="25"/>
  <c r="C7" i="25"/>
  <c r="C5" i="25"/>
  <c r="C3" i="25"/>
  <c r="B20" i="25"/>
  <c r="C18" i="25"/>
  <c r="B4" i="25"/>
  <c r="B6" i="25"/>
  <c r="B18" i="25"/>
  <c r="C16" i="25"/>
  <c r="B16" i="25"/>
  <c r="C14" i="25"/>
  <c r="B10" i="25"/>
  <c r="B14" i="25"/>
  <c r="C12" i="25"/>
  <c r="B12" i="25"/>
  <c r="C10" i="25"/>
  <c r="C8" i="25"/>
  <c r="C4" i="25"/>
  <c r="C22" i="25"/>
  <c r="B8" i="25"/>
  <c r="C6" i="25"/>
  <c r="B22" i="25"/>
  <c r="C20" i="25"/>
  <c r="E34" i="15"/>
  <c r="T29" i="15" s="1"/>
  <c r="U29" i="15" s="1"/>
  <c r="V29" i="15" s="1"/>
  <c r="M21" i="35"/>
  <c r="M19" i="35"/>
  <c r="M17" i="35"/>
  <c r="M15" i="35"/>
  <c r="M13" i="35"/>
  <c r="M11" i="35"/>
  <c r="L21" i="35"/>
  <c r="L19" i="35"/>
  <c r="L17" i="35"/>
  <c r="L15" i="35"/>
  <c r="L13" i="35"/>
  <c r="L11" i="35"/>
  <c r="M22" i="35"/>
  <c r="M20" i="35"/>
  <c r="M18" i="35"/>
  <c r="M16" i="35"/>
  <c r="M14" i="35"/>
  <c r="M12" i="35"/>
  <c r="M10" i="35"/>
  <c r="L9" i="35"/>
  <c r="L7" i="35"/>
  <c r="L5" i="35"/>
  <c r="L3" i="35"/>
  <c r="L16" i="35"/>
  <c r="L20" i="35"/>
  <c r="L12" i="35"/>
  <c r="L22" i="35"/>
  <c r="L14" i="35"/>
  <c r="M8" i="35"/>
  <c r="M6" i="35"/>
  <c r="M4" i="35"/>
  <c r="L8" i="35"/>
  <c r="L6" i="35"/>
  <c r="L4" i="35"/>
  <c r="L18" i="35"/>
  <c r="L10" i="35"/>
  <c r="M9" i="35"/>
  <c r="M7" i="35"/>
  <c r="M5" i="35"/>
  <c r="M3" i="35"/>
  <c r="J84" i="37"/>
  <c r="C39" i="37" s="1"/>
  <c r="L84" i="37"/>
  <c r="K31" i="38"/>
  <c r="F60" i="38" s="1"/>
  <c r="K27" i="38"/>
  <c r="F56" i="38" s="1"/>
  <c r="M27" i="38"/>
  <c r="G56" i="38" s="1"/>
  <c r="W85" i="37"/>
  <c r="D40" i="37"/>
  <c r="I26" i="38"/>
  <c r="E55" i="38" s="1"/>
  <c r="L83" i="39"/>
  <c r="E27" i="38"/>
  <c r="C56" i="38" s="1"/>
  <c r="D39" i="37"/>
  <c r="I39" i="37" s="1"/>
  <c r="W84" i="37"/>
  <c r="I28" i="38"/>
  <c r="E57" i="38" s="1"/>
  <c r="D37" i="36"/>
  <c r="J22" i="35"/>
  <c r="J20" i="35"/>
  <c r="J18" i="35"/>
  <c r="J16" i="35"/>
  <c r="J14" i="35"/>
  <c r="J12" i="35"/>
  <c r="J10" i="35"/>
  <c r="K21" i="35"/>
  <c r="K19" i="35"/>
  <c r="K17" i="35"/>
  <c r="K15" i="35"/>
  <c r="K13" i="35"/>
  <c r="K11" i="35"/>
  <c r="J21" i="35"/>
  <c r="J19" i="35"/>
  <c r="J17" i="35"/>
  <c r="J15" i="35"/>
  <c r="J13" i="35"/>
  <c r="J11" i="35"/>
  <c r="K18" i="35"/>
  <c r="K10" i="35"/>
  <c r="K9" i="35"/>
  <c r="K7" i="35"/>
  <c r="K5" i="35"/>
  <c r="K3" i="35"/>
  <c r="K20" i="35"/>
  <c r="K12" i="35"/>
  <c r="J9" i="35"/>
  <c r="J7" i="35"/>
  <c r="J5" i="35"/>
  <c r="J3" i="35"/>
  <c r="K8" i="35"/>
  <c r="K4" i="35"/>
  <c r="K6" i="35"/>
  <c r="K22" i="35"/>
  <c r="K14" i="35"/>
  <c r="K16" i="35"/>
  <c r="J8" i="35"/>
  <c r="J6" i="35"/>
  <c r="J4" i="35"/>
  <c r="K91" i="39"/>
  <c r="Q83" i="39" s="1"/>
  <c r="R83" i="39" s="1"/>
  <c r="U84" i="37"/>
  <c r="B39" i="37"/>
  <c r="J86" i="37"/>
  <c r="C41" i="37" s="1"/>
  <c r="L86" i="37"/>
  <c r="L13" i="40"/>
  <c r="L8" i="40"/>
  <c r="B22" i="38"/>
  <c r="B20" i="38"/>
  <c r="B18" i="38"/>
  <c r="B16" i="38"/>
  <c r="B14" i="38"/>
  <c r="B12" i="38"/>
  <c r="B10" i="38"/>
  <c r="O10" i="38" s="1"/>
  <c r="B8" i="38"/>
  <c r="B6" i="38"/>
  <c r="O6" i="38" s="1"/>
  <c r="B4" i="38"/>
  <c r="C21" i="38"/>
  <c r="C19" i="38"/>
  <c r="C17" i="38"/>
  <c r="C15" i="38"/>
  <c r="C13" i="38"/>
  <c r="C11" i="38"/>
  <c r="C9" i="38"/>
  <c r="C7" i="38"/>
  <c r="C5" i="38"/>
  <c r="C3" i="38"/>
  <c r="B21" i="38"/>
  <c r="B19" i="38"/>
  <c r="B17" i="38"/>
  <c r="B15" i="38"/>
  <c r="B13" i="38"/>
  <c r="B11" i="38"/>
  <c r="B9" i="38"/>
  <c r="B7" i="38"/>
  <c r="B5" i="38"/>
  <c r="B3" i="38"/>
  <c r="C18" i="38"/>
  <c r="P18" i="38" s="1"/>
  <c r="C10" i="38"/>
  <c r="C20" i="38"/>
  <c r="P20" i="38" s="1"/>
  <c r="C12" i="38"/>
  <c r="C4" i="38"/>
  <c r="C22" i="38"/>
  <c r="C14" i="38"/>
  <c r="C6" i="38"/>
  <c r="C16" i="38"/>
  <c r="C8" i="38"/>
  <c r="I6" i="22"/>
  <c r="F21" i="38"/>
  <c r="F19" i="38"/>
  <c r="F17" i="38"/>
  <c r="F15" i="38"/>
  <c r="O15" i="38" s="1"/>
  <c r="F13" i="38"/>
  <c r="F11" i="38"/>
  <c r="F9" i="38"/>
  <c r="F7" i="38"/>
  <c r="F5" i="38"/>
  <c r="F3" i="38"/>
  <c r="G22" i="38"/>
  <c r="G20" i="38"/>
  <c r="G18" i="38"/>
  <c r="G16" i="38"/>
  <c r="G14" i="38"/>
  <c r="G12" i="38"/>
  <c r="G10" i="38"/>
  <c r="G8" i="38"/>
  <c r="G6" i="38"/>
  <c r="G4" i="38"/>
  <c r="F22" i="38"/>
  <c r="F20" i="38"/>
  <c r="F18" i="38"/>
  <c r="F16" i="38"/>
  <c r="F14" i="38"/>
  <c r="F12" i="38"/>
  <c r="F10" i="38"/>
  <c r="F8" i="38"/>
  <c r="F6" i="38"/>
  <c r="F4" i="38"/>
  <c r="G15" i="38"/>
  <c r="G7" i="38"/>
  <c r="G17" i="38"/>
  <c r="G9" i="38"/>
  <c r="G19" i="38"/>
  <c r="G11" i="38"/>
  <c r="G3" i="38"/>
  <c r="P3" i="38" s="1"/>
  <c r="G21" i="38"/>
  <c r="G13" i="38"/>
  <c r="G5" i="38"/>
  <c r="P5" i="38" s="1"/>
  <c r="I22" i="35"/>
  <c r="I20" i="35"/>
  <c r="I18" i="35"/>
  <c r="I16" i="35"/>
  <c r="I14" i="35"/>
  <c r="I12" i="35"/>
  <c r="I10" i="35"/>
  <c r="H22" i="35"/>
  <c r="H20" i="35"/>
  <c r="H18" i="35"/>
  <c r="H16" i="35"/>
  <c r="H14" i="35"/>
  <c r="H12" i="35"/>
  <c r="H10" i="35"/>
  <c r="I21" i="35"/>
  <c r="I19" i="35"/>
  <c r="I17" i="35"/>
  <c r="I15" i="35"/>
  <c r="I13" i="35"/>
  <c r="I11" i="35"/>
  <c r="H8" i="35"/>
  <c r="H6" i="35"/>
  <c r="H4" i="35"/>
  <c r="H15" i="35"/>
  <c r="H19" i="35"/>
  <c r="H17" i="35"/>
  <c r="I9" i="35"/>
  <c r="I7" i="35"/>
  <c r="I5" i="35"/>
  <c r="I3" i="35"/>
  <c r="H11" i="35"/>
  <c r="H9" i="35"/>
  <c r="H7" i="35"/>
  <c r="H5" i="35"/>
  <c r="H3" i="35"/>
  <c r="H21" i="35"/>
  <c r="H13" i="35"/>
  <c r="I8" i="35"/>
  <c r="I6" i="35"/>
  <c r="I4" i="35"/>
  <c r="D8" i="22"/>
  <c r="D7" i="22" s="1"/>
  <c r="D6" i="22" s="1"/>
  <c r="D5" i="22" s="1"/>
  <c r="D4" i="22" s="1"/>
  <c r="D3" i="22" s="1"/>
  <c r="D2" i="22" s="1"/>
  <c r="I22" i="25"/>
  <c r="I20" i="25"/>
  <c r="I18" i="25"/>
  <c r="I16" i="25"/>
  <c r="I14" i="25"/>
  <c r="I12" i="25"/>
  <c r="I10" i="25"/>
  <c r="I8" i="25"/>
  <c r="I6" i="25"/>
  <c r="I4" i="25"/>
  <c r="I5" i="25"/>
  <c r="I3" i="25"/>
  <c r="H22" i="25"/>
  <c r="H20" i="25"/>
  <c r="H18" i="25"/>
  <c r="H16" i="25"/>
  <c r="H14" i="25"/>
  <c r="H12" i="25"/>
  <c r="H10" i="25"/>
  <c r="H8" i="25"/>
  <c r="H6" i="25"/>
  <c r="H4" i="25"/>
  <c r="I13" i="25"/>
  <c r="I11" i="25"/>
  <c r="I21" i="25"/>
  <c r="I19" i="25"/>
  <c r="I17" i="25"/>
  <c r="I15" i="25"/>
  <c r="I9" i="25"/>
  <c r="I7" i="25"/>
  <c r="H21" i="25"/>
  <c r="H5" i="25"/>
  <c r="H11" i="25"/>
  <c r="H19" i="25"/>
  <c r="H3" i="25"/>
  <c r="H17" i="25"/>
  <c r="H15" i="25"/>
  <c r="H13" i="25"/>
  <c r="H9" i="25"/>
  <c r="H7" i="25"/>
  <c r="E21" i="25"/>
  <c r="E19" i="25"/>
  <c r="E17" i="25"/>
  <c r="E15" i="25"/>
  <c r="E13" i="25"/>
  <c r="E11" i="25"/>
  <c r="E9" i="25"/>
  <c r="E7" i="25"/>
  <c r="E5" i="25"/>
  <c r="E3" i="25"/>
  <c r="E22" i="25"/>
  <c r="E20" i="25"/>
  <c r="E18" i="25"/>
  <c r="E16" i="25"/>
  <c r="E14" i="25"/>
  <c r="E12" i="25"/>
  <c r="E10" i="25"/>
  <c r="E8" i="25"/>
  <c r="D21" i="25"/>
  <c r="D19" i="25"/>
  <c r="D17" i="25"/>
  <c r="D15" i="25"/>
  <c r="D13" i="25"/>
  <c r="D11" i="25"/>
  <c r="D9" i="25"/>
  <c r="D7" i="25"/>
  <c r="D5" i="25"/>
  <c r="D3" i="25"/>
  <c r="E6" i="25"/>
  <c r="E4" i="25"/>
  <c r="D16" i="25"/>
  <c r="D14" i="25"/>
  <c r="D22" i="25"/>
  <c r="D12" i="25"/>
  <c r="D10" i="25"/>
  <c r="D6" i="25"/>
  <c r="D8" i="25"/>
  <c r="D20" i="25"/>
  <c r="D4" i="25"/>
  <c r="D18" i="25"/>
  <c r="O86" i="38"/>
  <c r="U83" i="37"/>
  <c r="B38" i="37"/>
  <c r="I91" i="37"/>
  <c r="I92" i="37" s="1"/>
  <c r="J27" i="15"/>
  <c r="W27" i="11"/>
  <c r="M33" i="38"/>
  <c r="G62" i="38" s="1"/>
  <c r="M28" i="38"/>
  <c r="G57" i="38" s="1"/>
  <c r="D38" i="37"/>
  <c r="K91" i="37"/>
  <c r="W83" i="37"/>
  <c r="E21" i="35"/>
  <c r="E19" i="35"/>
  <c r="E17" i="35"/>
  <c r="E15" i="35"/>
  <c r="E13" i="35"/>
  <c r="E11" i="35"/>
  <c r="D21" i="35"/>
  <c r="D19" i="35"/>
  <c r="D17" i="35"/>
  <c r="D15" i="35"/>
  <c r="D13" i="35"/>
  <c r="D11" i="35"/>
  <c r="E22" i="35"/>
  <c r="E20" i="35"/>
  <c r="E18" i="35"/>
  <c r="E16" i="35"/>
  <c r="E14" i="35"/>
  <c r="E12" i="35"/>
  <c r="D9" i="35"/>
  <c r="D7" i="35"/>
  <c r="D5" i="35"/>
  <c r="D3" i="35"/>
  <c r="D18" i="35"/>
  <c r="D20" i="35"/>
  <c r="D12" i="35"/>
  <c r="E10" i="35"/>
  <c r="E8" i="35"/>
  <c r="E6" i="35"/>
  <c r="E4" i="35"/>
  <c r="D10" i="35"/>
  <c r="D8" i="35"/>
  <c r="D6" i="35"/>
  <c r="D4" i="35"/>
  <c r="D22" i="35"/>
  <c r="E5" i="35"/>
  <c r="D16" i="35"/>
  <c r="E9" i="35"/>
  <c r="E7" i="35"/>
  <c r="E3" i="35"/>
  <c r="D14" i="35"/>
  <c r="J21" i="25"/>
  <c r="J19" i="25"/>
  <c r="J17" i="25"/>
  <c r="J15" i="25"/>
  <c r="J13" i="25"/>
  <c r="J11" i="25"/>
  <c r="J9" i="25"/>
  <c r="J7" i="25"/>
  <c r="J5" i="25"/>
  <c r="J3" i="25"/>
  <c r="K21" i="25"/>
  <c r="K19" i="25"/>
  <c r="K17" i="25"/>
  <c r="K28" i="25" s="1"/>
  <c r="F57" i="25" s="1"/>
  <c r="K15" i="25"/>
  <c r="K13" i="25"/>
  <c r="K11" i="25"/>
  <c r="K9" i="25"/>
  <c r="K7" i="25"/>
  <c r="K5" i="25"/>
  <c r="K3" i="25"/>
  <c r="J14" i="25"/>
  <c r="K12" i="25"/>
  <c r="J12" i="25"/>
  <c r="K10" i="25"/>
  <c r="J4" i="25"/>
  <c r="J10" i="25"/>
  <c r="K8" i="25"/>
  <c r="J20" i="25"/>
  <c r="K22" i="25"/>
  <c r="J8" i="25"/>
  <c r="K6" i="25"/>
  <c r="J22" i="25"/>
  <c r="K20" i="25"/>
  <c r="J6" i="25"/>
  <c r="K4" i="25"/>
  <c r="K18" i="25"/>
  <c r="J18" i="25"/>
  <c r="K16" i="25"/>
  <c r="J16" i="25"/>
  <c r="K14" i="25"/>
  <c r="I3" i="22"/>
  <c r="K26" i="38"/>
  <c r="F55" i="38" s="1"/>
  <c r="K33" i="38"/>
  <c r="F62" i="38" s="1"/>
  <c r="B41" i="37"/>
  <c r="U86" i="37"/>
  <c r="E37" i="36"/>
  <c r="L12" i="36" s="1"/>
  <c r="I33" i="38"/>
  <c r="E62" i="38" s="1"/>
  <c r="L8" i="36"/>
  <c r="L13" i="36"/>
  <c r="F37" i="40"/>
  <c r="L10" i="40" s="1"/>
  <c r="E31" i="38"/>
  <c r="C60" i="38" s="1"/>
  <c r="E32" i="38"/>
  <c r="C61" i="38" s="1"/>
  <c r="E28" i="38"/>
  <c r="C57" i="38" s="1"/>
  <c r="Q84" i="39"/>
  <c r="M31" i="38"/>
  <c r="G60" i="38" s="1"/>
  <c r="B40" i="37"/>
  <c r="U85" i="37"/>
  <c r="F21" i="35"/>
  <c r="F19" i="35"/>
  <c r="F17" i="35"/>
  <c r="F15" i="35"/>
  <c r="F13" i="35"/>
  <c r="F11" i="35"/>
  <c r="G22" i="35"/>
  <c r="G20" i="35"/>
  <c r="G18" i="35"/>
  <c r="G16" i="35"/>
  <c r="G14" i="35"/>
  <c r="G12" i="35"/>
  <c r="F22" i="35"/>
  <c r="F20" i="35"/>
  <c r="F18" i="35"/>
  <c r="F16" i="35"/>
  <c r="F14" i="35"/>
  <c r="F12" i="35"/>
  <c r="G21" i="35"/>
  <c r="G13" i="35"/>
  <c r="G9" i="35"/>
  <c r="G7" i="35"/>
  <c r="G10" i="35"/>
  <c r="G8" i="35"/>
  <c r="G6" i="35"/>
  <c r="G4" i="35"/>
  <c r="G26" i="35" s="1"/>
  <c r="D55" i="35" s="1"/>
  <c r="G15" i="35"/>
  <c r="F10" i="35"/>
  <c r="F8" i="35"/>
  <c r="F6" i="35"/>
  <c r="F4" i="35"/>
  <c r="G17" i="35"/>
  <c r="G5" i="35"/>
  <c r="G3" i="35"/>
  <c r="G19" i="35"/>
  <c r="G11" i="35"/>
  <c r="F9" i="35"/>
  <c r="F7" i="35"/>
  <c r="F5" i="35"/>
  <c r="F3" i="35"/>
  <c r="B22" i="35"/>
  <c r="B20" i="35"/>
  <c r="B18" i="35"/>
  <c r="B16" i="35"/>
  <c r="B14" i="35"/>
  <c r="B12" i="35"/>
  <c r="C21" i="35"/>
  <c r="C19" i="35"/>
  <c r="C17" i="35"/>
  <c r="C15" i="35"/>
  <c r="C13" i="35"/>
  <c r="C11" i="35"/>
  <c r="B21" i="35"/>
  <c r="B19" i="35"/>
  <c r="B17" i="35"/>
  <c r="B15" i="35"/>
  <c r="O15" i="35" s="1"/>
  <c r="B13" i="35"/>
  <c r="B11" i="35"/>
  <c r="C16" i="35"/>
  <c r="C6" i="35"/>
  <c r="C4" i="35"/>
  <c r="C9" i="35"/>
  <c r="C7" i="35"/>
  <c r="C5" i="35"/>
  <c r="C3" i="35"/>
  <c r="C18" i="35"/>
  <c r="B9" i="35"/>
  <c r="B7" i="35"/>
  <c r="B5" i="35"/>
  <c r="B3" i="35"/>
  <c r="C20" i="35"/>
  <c r="C12" i="35"/>
  <c r="C10" i="35"/>
  <c r="C8" i="35"/>
  <c r="C22" i="35"/>
  <c r="C14" i="35"/>
  <c r="B10" i="35"/>
  <c r="B8" i="35"/>
  <c r="B6" i="35"/>
  <c r="B4" i="35"/>
  <c r="O4" i="35" s="1"/>
  <c r="W28" i="11"/>
  <c r="K32" i="38"/>
  <c r="F61" i="38" s="1"/>
  <c r="M26" i="38"/>
  <c r="G55" i="38" s="1"/>
  <c r="J83" i="37"/>
  <c r="C38" i="37" s="1"/>
  <c r="L83" i="37"/>
  <c r="E38" i="37" s="1"/>
  <c r="D41" i="37"/>
  <c r="W86" i="37"/>
  <c r="L4" i="36"/>
  <c r="F37" i="36"/>
  <c r="L10" i="36" s="1"/>
  <c r="I27" i="38"/>
  <c r="E56" i="38" s="1"/>
  <c r="I31" i="38"/>
  <c r="E60" i="38" s="1"/>
  <c r="W29" i="11"/>
  <c r="M21" i="25"/>
  <c r="M19" i="25"/>
  <c r="M17" i="25"/>
  <c r="M15" i="25"/>
  <c r="M13" i="25"/>
  <c r="M11" i="25"/>
  <c r="M9" i="25"/>
  <c r="M7" i="25"/>
  <c r="M5" i="25"/>
  <c r="M3" i="25"/>
  <c r="M6" i="25"/>
  <c r="L21" i="25"/>
  <c r="L19" i="25"/>
  <c r="L17" i="25"/>
  <c r="L15" i="25"/>
  <c r="L13" i="25"/>
  <c r="L11" i="25"/>
  <c r="L9" i="25"/>
  <c r="L7" i="25"/>
  <c r="L5" i="25"/>
  <c r="L3" i="25"/>
  <c r="M20" i="25"/>
  <c r="M18" i="25"/>
  <c r="M16" i="25"/>
  <c r="M14" i="25"/>
  <c r="M8" i="25"/>
  <c r="M22" i="25"/>
  <c r="M12" i="25"/>
  <c r="M10" i="25"/>
  <c r="M4" i="25"/>
  <c r="L10" i="25"/>
  <c r="L16" i="25"/>
  <c r="L8" i="25"/>
  <c r="L22" i="25"/>
  <c r="L6" i="25"/>
  <c r="L20" i="25"/>
  <c r="L4" i="25"/>
  <c r="L18" i="25"/>
  <c r="L14" i="25"/>
  <c r="L12" i="25"/>
  <c r="J85" i="37"/>
  <c r="C40" i="37" s="1"/>
  <c r="L85" i="37"/>
  <c r="F22" i="25"/>
  <c r="F20" i="25"/>
  <c r="F18" i="25"/>
  <c r="F16" i="25"/>
  <c r="F14" i="25"/>
  <c r="F12" i="25"/>
  <c r="F10" i="25"/>
  <c r="F8" i="25"/>
  <c r="F6" i="25"/>
  <c r="F4" i="25"/>
  <c r="G22" i="25"/>
  <c r="G20" i="25"/>
  <c r="G18" i="25"/>
  <c r="G16" i="25"/>
  <c r="G14" i="25"/>
  <c r="G12" i="25"/>
  <c r="G10" i="25"/>
  <c r="G8" i="25"/>
  <c r="G6" i="25"/>
  <c r="G4" i="25"/>
  <c r="F9" i="25"/>
  <c r="G7" i="25"/>
  <c r="G21" i="25"/>
  <c r="F7" i="25"/>
  <c r="G5" i="25"/>
  <c r="G13" i="25"/>
  <c r="F21" i="25"/>
  <c r="G19" i="25"/>
  <c r="F5" i="25"/>
  <c r="G3" i="25"/>
  <c r="F19" i="25"/>
  <c r="G17" i="25"/>
  <c r="F3" i="25"/>
  <c r="F15" i="25"/>
  <c r="F17" i="25"/>
  <c r="G15" i="25"/>
  <c r="F13" i="25"/>
  <c r="G11" i="25"/>
  <c r="F11" i="25"/>
  <c r="G9" i="25"/>
  <c r="M32" i="38"/>
  <c r="R84" i="39"/>
  <c r="Q86" i="39"/>
  <c r="R86" i="39" s="1"/>
  <c r="D37" i="26"/>
  <c r="L8" i="26"/>
  <c r="L13" i="26"/>
  <c r="Q27" i="13"/>
  <c r="Q28" i="13"/>
  <c r="E37" i="26"/>
  <c r="L12" i="26" s="1"/>
  <c r="F37" i="26"/>
  <c r="L10" i="26" s="1"/>
  <c r="L4" i="26"/>
  <c r="T27" i="15"/>
  <c r="U27" i="15" s="1"/>
  <c r="V27" i="15" s="1"/>
  <c r="T28" i="15"/>
  <c r="U28" i="15" s="1"/>
  <c r="V28" i="15" s="1"/>
  <c r="L29" i="15"/>
  <c r="L28" i="15"/>
  <c r="H13" i="21"/>
  <c r="L27" i="15"/>
  <c r="L26" i="15"/>
  <c r="T26" i="15"/>
  <c r="U26" i="15" s="1"/>
  <c r="V26" i="15" s="1"/>
  <c r="K26" i="15"/>
  <c r="H13" i="20"/>
  <c r="G26" i="25" l="1"/>
  <c r="D55" i="25" s="1"/>
  <c r="M31" i="35"/>
  <c r="G60" i="35" s="1"/>
  <c r="P8" i="25"/>
  <c r="P18" i="25"/>
  <c r="G33" i="38"/>
  <c r="D62" i="38" s="1"/>
  <c r="P12" i="38"/>
  <c r="O4" i="38"/>
  <c r="P10" i="25"/>
  <c r="P3" i="25"/>
  <c r="O17" i="35"/>
  <c r="P12" i="25"/>
  <c r="P5" i="25"/>
  <c r="P21" i="38"/>
  <c r="P7" i="25"/>
  <c r="M32" i="25"/>
  <c r="G61" i="25" s="1"/>
  <c r="E27" i="35"/>
  <c r="C56" i="35" s="1"/>
  <c r="O21" i="38"/>
  <c r="P9" i="25"/>
  <c r="P20" i="25"/>
  <c r="P14" i="25"/>
  <c r="P11" i="25"/>
  <c r="P13" i="25"/>
  <c r="W28" i="15"/>
  <c r="E28" i="35"/>
  <c r="C57" i="35" s="1"/>
  <c r="P6" i="25"/>
  <c r="P16" i="25"/>
  <c r="P15" i="25"/>
  <c r="P20" i="35"/>
  <c r="I28" i="35"/>
  <c r="E57" i="35" s="1"/>
  <c r="G28" i="38"/>
  <c r="D57" i="38" s="1"/>
  <c r="P15" i="38"/>
  <c r="O20" i="38"/>
  <c r="C28" i="25"/>
  <c r="B57" i="25" s="1"/>
  <c r="P17" i="25"/>
  <c r="E27" i="25"/>
  <c r="C56" i="25" s="1"/>
  <c r="I26" i="35"/>
  <c r="E55" i="35" s="1"/>
  <c r="O22" i="38"/>
  <c r="P22" i="25"/>
  <c r="P19" i="25"/>
  <c r="P4" i="25"/>
  <c r="P21" i="25"/>
  <c r="N32" i="25"/>
  <c r="P5" i="35"/>
  <c r="Q84" i="37"/>
  <c r="R84" i="37" s="1"/>
  <c r="K92" i="37"/>
  <c r="G27" i="25"/>
  <c r="D56" i="25" s="1"/>
  <c r="P22" i="35"/>
  <c r="E26" i="25"/>
  <c r="C55" i="25" s="1"/>
  <c r="C32" i="35"/>
  <c r="B61" i="35" s="1"/>
  <c r="O5" i="35"/>
  <c r="O14" i="35"/>
  <c r="G40" i="37"/>
  <c r="L40" i="37" s="1"/>
  <c r="W26" i="15"/>
  <c r="G32" i="25"/>
  <c r="D61" i="25" s="1"/>
  <c r="M33" i="25"/>
  <c r="G62" i="25" s="1"/>
  <c r="M28" i="25"/>
  <c r="G57" i="25" s="1"/>
  <c r="G85" i="35"/>
  <c r="J85" i="35" s="1"/>
  <c r="C40" i="35" s="1"/>
  <c r="P8" i="35"/>
  <c r="O11" i="35"/>
  <c r="P15" i="35"/>
  <c r="O20" i="35"/>
  <c r="G27" i="35"/>
  <c r="D56" i="35" s="1"/>
  <c r="K27" i="25"/>
  <c r="F56" i="25" s="1"/>
  <c r="E33" i="35"/>
  <c r="C62" i="35" s="1"/>
  <c r="P16" i="35"/>
  <c r="Q83" i="37"/>
  <c r="R83" i="37" s="1"/>
  <c r="E32" i="25"/>
  <c r="C61" i="25" s="1"/>
  <c r="I33" i="25"/>
  <c r="E62" i="25" s="1"/>
  <c r="P9" i="35"/>
  <c r="I33" i="35"/>
  <c r="E62" i="35" s="1"/>
  <c r="O17" i="38"/>
  <c r="C31" i="38"/>
  <c r="B60" i="38" s="1"/>
  <c r="P22" i="38"/>
  <c r="O7" i="38"/>
  <c r="P19" i="38"/>
  <c r="O16" i="38"/>
  <c r="K31" i="35"/>
  <c r="F60" i="35" s="1"/>
  <c r="K32" i="35"/>
  <c r="F61" i="35" s="1"/>
  <c r="M26" i="35"/>
  <c r="G55" i="35" s="1"/>
  <c r="C27" i="25"/>
  <c r="B56" i="25" s="1"/>
  <c r="O5" i="38"/>
  <c r="G32" i="38"/>
  <c r="D61" i="38" s="1"/>
  <c r="C26" i="35"/>
  <c r="B55" i="35" s="1"/>
  <c r="G28" i="25"/>
  <c r="D57" i="25" s="1"/>
  <c r="E40" i="37"/>
  <c r="M31" i="25"/>
  <c r="G60" i="25" s="1"/>
  <c r="Q86" i="37"/>
  <c r="R86" i="37" s="1"/>
  <c r="P3" i="35"/>
  <c r="O13" i="35"/>
  <c r="C28" i="35"/>
  <c r="B57" i="35" s="1"/>
  <c r="P17" i="35"/>
  <c r="O22" i="35"/>
  <c r="K33" i="25"/>
  <c r="F62" i="25" s="1"/>
  <c r="P18" i="35"/>
  <c r="I27" i="25"/>
  <c r="E56" i="25" s="1"/>
  <c r="I31" i="25"/>
  <c r="E60" i="25" s="1"/>
  <c r="I32" i="35"/>
  <c r="E61" i="35" s="1"/>
  <c r="G26" i="38"/>
  <c r="D55" i="38" s="1"/>
  <c r="O3" i="38"/>
  <c r="O82" i="38" s="1"/>
  <c r="O88" i="38" s="1"/>
  <c r="P4" i="38"/>
  <c r="C26" i="38"/>
  <c r="B55" i="38" s="1"/>
  <c r="G83" i="38"/>
  <c r="J83" i="38" s="1"/>
  <c r="C38" i="38" s="1"/>
  <c r="O18" i="38"/>
  <c r="G39" i="37"/>
  <c r="L39" i="37" s="1"/>
  <c r="K27" i="35"/>
  <c r="F56" i="35" s="1"/>
  <c r="M27" i="35"/>
  <c r="G56" i="35" s="1"/>
  <c r="H40" i="37"/>
  <c r="M40" i="37" s="1"/>
  <c r="P12" i="35"/>
  <c r="O6" i="35"/>
  <c r="C33" i="35"/>
  <c r="B62" i="35" s="1"/>
  <c r="P7" i="38"/>
  <c r="P9" i="38"/>
  <c r="G86" i="38"/>
  <c r="J86" i="38" s="1"/>
  <c r="C41" i="38" s="1"/>
  <c r="Q85" i="37"/>
  <c r="R85" i="37" s="1"/>
  <c r="O8" i="35"/>
  <c r="C31" i="35"/>
  <c r="B60" i="35" s="1"/>
  <c r="O3" i="35"/>
  <c r="O82" i="35" s="1"/>
  <c r="O88" i="35" s="1"/>
  <c r="G86" i="35"/>
  <c r="J86" i="35" s="1"/>
  <c r="C41" i="35" s="1"/>
  <c r="O19" i="35"/>
  <c r="O12" i="35"/>
  <c r="G28" i="35"/>
  <c r="D57" i="35" s="1"/>
  <c r="P6" i="35"/>
  <c r="G41" i="37"/>
  <c r="L41" i="37" s="1"/>
  <c r="G38" i="37"/>
  <c r="L38" i="37" s="1"/>
  <c r="E33" i="25"/>
  <c r="C62" i="25" s="1"/>
  <c r="P21" i="35"/>
  <c r="P13" i="38"/>
  <c r="O9" i="38"/>
  <c r="G85" i="38"/>
  <c r="J85" i="38" s="1"/>
  <c r="C40" i="38" s="1"/>
  <c r="P8" i="38"/>
  <c r="P10" i="38"/>
  <c r="C27" i="38"/>
  <c r="B56" i="38" s="1"/>
  <c r="P11" i="38"/>
  <c r="O8" i="38"/>
  <c r="K92" i="39"/>
  <c r="Q85" i="39"/>
  <c r="R85" i="39" s="1"/>
  <c r="K28" i="35"/>
  <c r="F57" i="35" s="1"/>
  <c r="I40" i="37"/>
  <c r="M28" i="35"/>
  <c r="G57" i="35" s="1"/>
  <c r="I41" i="37"/>
  <c r="P7" i="35"/>
  <c r="P4" i="35"/>
  <c r="E26" i="35"/>
  <c r="C55" i="35" s="1"/>
  <c r="I38" i="37"/>
  <c r="J38" i="37" s="1"/>
  <c r="M27" i="25"/>
  <c r="G56" i="25" s="1"/>
  <c r="O10" i="35"/>
  <c r="G32" i="35"/>
  <c r="D61" i="35" s="1"/>
  <c r="K26" i="25"/>
  <c r="F55" i="25" s="1"/>
  <c r="K31" i="25"/>
  <c r="F60" i="25" s="1"/>
  <c r="K32" i="25"/>
  <c r="F61" i="25" s="1"/>
  <c r="E31" i="35"/>
  <c r="C60" i="35" s="1"/>
  <c r="O11" i="38"/>
  <c r="P16" i="38"/>
  <c r="K26" i="35"/>
  <c r="F55" i="35" s="1"/>
  <c r="E39" i="37"/>
  <c r="M32" i="35"/>
  <c r="C26" i="25"/>
  <c r="B55" i="25" s="1"/>
  <c r="C32" i="25"/>
  <c r="B61" i="25" s="1"/>
  <c r="G83" i="25"/>
  <c r="J83" i="25" s="1"/>
  <c r="C38" i="25" s="1"/>
  <c r="G33" i="25"/>
  <c r="D62" i="25" s="1"/>
  <c r="O7" i="35"/>
  <c r="O84" i="35" s="1"/>
  <c r="O89" i="35" s="1"/>
  <c r="G84" i="35"/>
  <c r="J84" i="35" s="1"/>
  <c r="C39" i="35" s="1"/>
  <c r="C27" i="35"/>
  <c r="B56" i="35" s="1"/>
  <c r="P11" i="35"/>
  <c r="O16" i="35"/>
  <c r="G33" i="35"/>
  <c r="D62" i="35" s="1"/>
  <c r="P10" i="35"/>
  <c r="E32" i="35"/>
  <c r="C61" i="35" s="1"/>
  <c r="E28" i="25"/>
  <c r="C57" i="25" s="1"/>
  <c r="I28" i="25"/>
  <c r="E57" i="25" s="1"/>
  <c r="I32" i="25"/>
  <c r="E61" i="25" s="1"/>
  <c r="G83" i="35"/>
  <c r="J83" i="35" s="1"/>
  <c r="C38" i="35" s="1"/>
  <c r="I31" i="35"/>
  <c r="E60" i="35" s="1"/>
  <c r="O13" i="38"/>
  <c r="P33" i="38" s="1"/>
  <c r="C33" i="38"/>
  <c r="B62" i="38" s="1"/>
  <c r="P6" i="38"/>
  <c r="G84" i="38"/>
  <c r="J84" i="38" s="1"/>
  <c r="C39" i="38" s="1"/>
  <c r="O19" i="38"/>
  <c r="O12" i="38"/>
  <c r="P32" i="38" s="1"/>
  <c r="H39" i="37"/>
  <c r="M39" i="37" s="1"/>
  <c r="M33" i="35"/>
  <c r="G62" i="35" s="1"/>
  <c r="C31" i="25"/>
  <c r="B60" i="25" s="1"/>
  <c r="G85" i="25"/>
  <c r="J85" i="25" s="1"/>
  <c r="C40" i="25" s="1"/>
  <c r="P19" i="35"/>
  <c r="C33" i="25"/>
  <c r="B62" i="25" s="1"/>
  <c r="G84" i="25"/>
  <c r="J84" i="25" s="1"/>
  <c r="C39" i="25" s="1"/>
  <c r="M26" i="25"/>
  <c r="G55" i="25" s="1"/>
  <c r="O21" i="35"/>
  <c r="G61" i="38"/>
  <c r="N32" i="38"/>
  <c r="G31" i="25"/>
  <c r="D60" i="25" s="1"/>
  <c r="O9" i="35"/>
  <c r="P13" i="35"/>
  <c r="O18" i="35"/>
  <c r="G31" i="35"/>
  <c r="D60" i="35" s="1"/>
  <c r="P14" i="35"/>
  <c r="E31" i="25"/>
  <c r="C60" i="25" s="1"/>
  <c r="I26" i="25"/>
  <c r="E55" i="25" s="1"/>
  <c r="I27" i="35"/>
  <c r="E56" i="35" s="1"/>
  <c r="G27" i="38"/>
  <c r="D56" i="38" s="1"/>
  <c r="G31" i="38"/>
  <c r="D60" i="38" s="1"/>
  <c r="P14" i="38"/>
  <c r="C32" i="38"/>
  <c r="B61" i="38" s="1"/>
  <c r="C28" i="38"/>
  <c r="B57" i="38" s="1"/>
  <c r="P17" i="38"/>
  <c r="P28" i="38" s="1"/>
  <c r="O14" i="38"/>
  <c r="E41" i="37"/>
  <c r="K33" i="35"/>
  <c r="F62" i="35" s="1"/>
  <c r="G86" i="25"/>
  <c r="J86" i="25" s="1"/>
  <c r="C41" i="25" s="1"/>
  <c r="W27" i="15"/>
  <c r="W29" i="15"/>
  <c r="P33" i="35" l="1"/>
  <c r="H38" i="37"/>
  <c r="M38" i="37" s="1"/>
  <c r="H41" i="37"/>
  <c r="M41" i="37" s="1"/>
  <c r="J41" i="37"/>
  <c r="P27" i="35"/>
  <c r="F85" i="38"/>
  <c r="P31" i="38"/>
  <c r="E64" i="38" a="1"/>
  <c r="E72" i="38" a="1"/>
  <c r="F83" i="35"/>
  <c r="O83" i="35"/>
  <c r="O91" i="35" s="1"/>
  <c r="P32" i="35"/>
  <c r="J39" i="37"/>
  <c r="P26" i="35"/>
  <c r="P27" i="38"/>
  <c r="P26" i="38"/>
  <c r="F84" i="35"/>
  <c r="F83" i="38"/>
  <c r="O83" i="38"/>
  <c r="F86" i="35"/>
  <c r="F85" i="35"/>
  <c r="P31" i="35"/>
  <c r="B27" i="37"/>
  <c r="B46" i="37" s="1"/>
  <c r="F32" i="37"/>
  <c r="D51" i="37" s="1"/>
  <c r="O27" i="37"/>
  <c r="J46" i="37" s="1"/>
  <c r="L46" i="37" s="1"/>
  <c r="J27" i="37"/>
  <c r="F46" i="37" s="1"/>
  <c r="D27" i="37"/>
  <c r="C46" i="37" s="1"/>
  <c r="L32" i="37"/>
  <c r="G51" i="37" s="1"/>
  <c r="B32" i="37"/>
  <c r="B51" i="37" s="1"/>
  <c r="F27" i="37"/>
  <c r="D46" i="37" s="1"/>
  <c r="O32" i="37"/>
  <c r="J51" i="37" s="1"/>
  <c r="L51" i="37" s="1"/>
  <c r="H32" i="37"/>
  <c r="E51" i="37" s="1"/>
  <c r="J32" i="37"/>
  <c r="F51" i="37" s="1"/>
  <c r="H27" i="37"/>
  <c r="E46" i="37" s="1"/>
  <c r="Q32" i="37"/>
  <c r="D32" i="37"/>
  <c r="C51" i="37" s="1"/>
  <c r="S27" i="37"/>
  <c r="L27" i="37"/>
  <c r="G46" i="37" s="1"/>
  <c r="E72" i="35" a="1"/>
  <c r="E64" i="25" a="1"/>
  <c r="D28" i="37"/>
  <c r="C47" i="37" s="1"/>
  <c r="O33" i="37"/>
  <c r="J52" i="37" s="1"/>
  <c r="F28" i="37"/>
  <c r="D47" i="37" s="1"/>
  <c r="J33" i="37"/>
  <c r="F52" i="37" s="1"/>
  <c r="O28" i="37"/>
  <c r="J47" i="37" s="1"/>
  <c r="F33" i="37"/>
  <c r="D52" i="37" s="1"/>
  <c r="L33" i="37"/>
  <c r="G52" i="37" s="1"/>
  <c r="Q33" i="37"/>
  <c r="J28" i="37"/>
  <c r="F47" i="37" s="1"/>
  <c r="S28" i="37"/>
  <c r="B28" i="37"/>
  <c r="B47" i="37" s="1"/>
  <c r="D33" i="37"/>
  <c r="C52" i="37" s="1"/>
  <c r="H33" i="37"/>
  <c r="E52" i="37" s="1"/>
  <c r="L28" i="37"/>
  <c r="G47" i="37" s="1"/>
  <c r="B33" i="37"/>
  <c r="B52" i="37" s="1"/>
  <c r="H28" i="37"/>
  <c r="E47" i="37" s="1"/>
  <c r="G61" i="35"/>
  <c r="N32" i="35"/>
  <c r="J40" i="37"/>
  <c r="E64" i="35" a="1"/>
  <c r="O84" i="38"/>
  <c r="O89" i="38" s="1"/>
  <c r="B26" i="37"/>
  <c r="B45" i="37" s="1"/>
  <c r="F26" i="37"/>
  <c r="D45" i="37" s="1"/>
  <c r="O31" i="37"/>
  <c r="J50" i="37" s="1"/>
  <c r="O26" i="37"/>
  <c r="J45" i="37" s="1"/>
  <c r="J26" i="37"/>
  <c r="F45" i="37" s="1"/>
  <c r="J31" i="37"/>
  <c r="F50" i="37" s="1"/>
  <c r="B31" i="37"/>
  <c r="B50" i="37" s="1"/>
  <c r="D31" i="37"/>
  <c r="C50" i="37" s="1"/>
  <c r="D26" i="37"/>
  <c r="C45" i="37" s="1"/>
  <c r="L26" i="37"/>
  <c r="G45" i="37" s="1"/>
  <c r="H26" i="37"/>
  <c r="E45" i="37" s="1"/>
  <c r="F31" i="37"/>
  <c r="D50" i="37" s="1"/>
  <c r="L31" i="37"/>
  <c r="G50" i="37" s="1"/>
  <c r="S26" i="37"/>
  <c r="H31" i="37"/>
  <c r="E50" i="37" s="1"/>
  <c r="Q31" i="37"/>
  <c r="E72" i="25" a="1"/>
  <c r="F84" i="38"/>
  <c r="F86" i="38"/>
  <c r="P28" i="35"/>
  <c r="F78" i="35" l="1"/>
  <c r="F72" i="35"/>
  <c r="G73" i="35"/>
  <c r="G75" i="35"/>
  <c r="F77" i="35"/>
  <c r="E73" i="35"/>
  <c r="G74" i="35"/>
  <c r="G76" i="35"/>
  <c r="E75" i="35"/>
  <c r="E78" i="35"/>
  <c r="E72" i="35"/>
  <c r="E77" i="35"/>
  <c r="F75" i="35"/>
  <c r="F73" i="35"/>
  <c r="G77" i="35"/>
  <c r="E74" i="35"/>
  <c r="E76" i="35"/>
  <c r="F74" i="35"/>
  <c r="G72" i="35"/>
  <c r="G78" i="35"/>
  <c r="F76" i="35"/>
  <c r="K86" i="35"/>
  <c r="I86" i="35"/>
  <c r="E69" i="38"/>
  <c r="F64" i="38"/>
  <c r="E67" i="38"/>
  <c r="F66" i="38"/>
  <c r="G70" i="38"/>
  <c r="G69" i="38"/>
  <c r="E70" i="38"/>
  <c r="G68" i="38"/>
  <c r="E68" i="38"/>
  <c r="G66" i="38"/>
  <c r="F67" i="38"/>
  <c r="E66" i="38"/>
  <c r="F65" i="38"/>
  <c r="G64" i="38"/>
  <c r="F68" i="38"/>
  <c r="F70" i="38"/>
  <c r="E64" i="38"/>
  <c r="F69" i="38"/>
  <c r="G65" i="38"/>
  <c r="G67" i="38"/>
  <c r="E65" i="38"/>
  <c r="E67" i="35"/>
  <c r="G69" i="35"/>
  <c r="G70" i="35"/>
  <c r="E68" i="35"/>
  <c r="F69" i="35"/>
  <c r="E65" i="35"/>
  <c r="G64" i="35"/>
  <c r="E66" i="35"/>
  <c r="E69" i="35"/>
  <c r="F67" i="35"/>
  <c r="F66" i="35"/>
  <c r="F65" i="35"/>
  <c r="G67" i="35"/>
  <c r="G65" i="35"/>
  <c r="G68" i="35"/>
  <c r="E70" i="35"/>
  <c r="G66" i="35"/>
  <c r="F68" i="35"/>
  <c r="F70" i="35"/>
  <c r="E64" i="35"/>
  <c r="F64" i="35"/>
  <c r="K86" i="38"/>
  <c r="I86" i="38"/>
  <c r="A72" i="37" a="1"/>
  <c r="I85" i="35"/>
  <c r="K85" i="35"/>
  <c r="G78" i="25"/>
  <c r="E72" i="25"/>
  <c r="E74" i="25"/>
  <c r="G74" i="25"/>
  <c r="G75" i="25"/>
  <c r="G76" i="25"/>
  <c r="F77" i="25"/>
  <c r="F74" i="25"/>
  <c r="G72" i="25"/>
  <c r="E75" i="25"/>
  <c r="E77" i="25"/>
  <c r="F75" i="25"/>
  <c r="F73" i="25"/>
  <c r="G73" i="25"/>
  <c r="F72" i="25"/>
  <c r="E78" i="25"/>
  <c r="E73" i="25"/>
  <c r="E76" i="25"/>
  <c r="F76" i="25"/>
  <c r="G77" i="25"/>
  <c r="F78" i="25"/>
  <c r="I84" i="38"/>
  <c r="K84" i="38"/>
  <c r="I83" i="38"/>
  <c r="F91" i="38"/>
  <c r="E92" i="38" s="1"/>
  <c r="K83" i="38"/>
  <c r="I85" i="38"/>
  <c r="K85" i="38"/>
  <c r="A64" i="37" a="1"/>
  <c r="O91" i="38"/>
  <c r="I84" i="35"/>
  <c r="K84" i="35"/>
  <c r="E69" i="25"/>
  <c r="F69" i="25"/>
  <c r="G64" i="25"/>
  <c r="E68" i="25"/>
  <c r="G68" i="25"/>
  <c r="F66" i="25"/>
  <c r="F67" i="25"/>
  <c r="G70" i="25"/>
  <c r="F64" i="25"/>
  <c r="E70" i="25"/>
  <c r="E65" i="25"/>
  <c r="G65" i="25"/>
  <c r="E67" i="25"/>
  <c r="G67" i="25"/>
  <c r="F68" i="25"/>
  <c r="G69" i="25"/>
  <c r="F70" i="25"/>
  <c r="E64" i="25"/>
  <c r="G66" i="25"/>
  <c r="F65" i="25"/>
  <c r="E66" i="25"/>
  <c r="F91" i="35"/>
  <c r="E92" i="35" s="1"/>
  <c r="K83" i="35"/>
  <c r="I83" i="35"/>
  <c r="F78" i="38"/>
  <c r="F73" i="38"/>
  <c r="G75" i="38"/>
  <c r="E74" i="38"/>
  <c r="E77" i="38"/>
  <c r="E75" i="38"/>
  <c r="G78" i="38"/>
  <c r="F72" i="38"/>
  <c r="G77" i="38"/>
  <c r="G74" i="38"/>
  <c r="E73" i="38"/>
  <c r="F75" i="38"/>
  <c r="F74" i="38"/>
  <c r="G73" i="38"/>
  <c r="G76" i="38"/>
  <c r="F77" i="38"/>
  <c r="E76" i="38"/>
  <c r="E78" i="38"/>
  <c r="E72" i="38"/>
  <c r="F76" i="38"/>
  <c r="G72" i="38"/>
  <c r="L86" i="35" l="1"/>
  <c r="L83" i="35"/>
  <c r="L85" i="35"/>
  <c r="E40" i="35" s="1"/>
  <c r="L84" i="35"/>
  <c r="U86" i="35"/>
  <c r="B41" i="35"/>
  <c r="B40" i="35"/>
  <c r="U85" i="35"/>
  <c r="D41" i="35"/>
  <c r="W86" i="35"/>
  <c r="A75" i="37"/>
  <c r="D75" i="37"/>
  <c r="A77" i="37"/>
  <c r="B77" i="37"/>
  <c r="D74" i="37"/>
  <c r="C77" i="37"/>
  <c r="C72" i="37"/>
  <c r="D77" i="37"/>
  <c r="B78" i="37"/>
  <c r="B75" i="37"/>
  <c r="D73" i="37"/>
  <c r="A76" i="37"/>
  <c r="C78" i="37"/>
  <c r="C73" i="37"/>
  <c r="B74" i="37"/>
  <c r="A72" i="37"/>
  <c r="B76" i="37"/>
  <c r="D78" i="37"/>
  <c r="C75" i="37"/>
  <c r="A78" i="37"/>
  <c r="B72" i="37"/>
  <c r="C76" i="37"/>
  <c r="D76" i="37"/>
  <c r="A74" i="37"/>
  <c r="D72" i="37"/>
  <c r="C74" i="37"/>
  <c r="A73" i="37"/>
  <c r="B73" i="37"/>
  <c r="D40" i="35"/>
  <c r="W85" i="35"/>
  <c r="K91" i="38"/>
  <c r="K92" i="38" s="1"/>
  <c r="W85" i="38"/>
  <c r="D40" i="38"/>
  <c r="C65" i="37"/>
  <c r="A69" i="37"/>
  <c r="B70" i="37"/>
  <c r="A68" i="37"/>
  <c r="D67" i="37"/>
  <c r="D68" i="37"/>
  <c r="C67" i="37"/>
  <c r="C69" i="37"/>
  <c r="B66" i="37"/>
  <c r="C70" i="37"/>
  <c r="B69" i="37"/>
  <c r="D66" i="37"/>
  <c r="A70" i="37"/>
  <c r="D64" i="37"/>
  <c r="A64" i="37"/>
  <c r="B67" i="37"/>
  <c r="B64" i="37"/>
  <c r="A67" i="37"/>
  <c r="A66" i="37"/>
  <c r="B65" i="37"/>
  <c r="C66" i="37"/>
  <c r="C68" i="37"/>
  <c r="D65" i="37"/>
  <c r="C64" i="37"/>
  <c r="D69" i="37"/>
  <c r="A65" i="37"/>
  <c r="D70" i="37"/>
  <c r="B68" i="37"/>
  <c r="U85" i="38"/>
  <c r="B40" i="38"/>
  <c r="B41" i="38"/>
  <c r="U86" i="38"/>
  <c r="B39" i="35"/>
  <c r="U84" i="35"/>
  <c r="D39" i="38"/>
  <c r="W84" i="38"/>
  <c r="Q84" i="38"/>
  <c r="D41" i="38"/>
  <c r="Q86" i="38"/>
  <c r="W86" i="38"/>
  <c r="W83" i="35"/>
  <c r="K91" i="35"/>
  <c r="K92" i="35" s="1"/>
  <c r="Q83" i="35"/>
  <c r="D38" i="35"/>
  <c r="U83" i="38"/>
  <c r="B38" i="38"/>
  <c r="I91" i="38"/>
  <c r="I92" i="38" s="1"/>
  <c r="B39" i="38"/>
  <c r="U84" i="38"/>
  <c r="D38" i="38"/>
  <c r="W83" i="38"/>
  <c r="Q83" i="38"/>
  <c r="B38" i="35"/>
  <c r="I91" i="35"/>
  <c r="I92" i="35" s="1"/>
  <c r="U83" i="35"/>
  <c r="D39" i="35"/>
  <c r="W84" i="35"/>
  <c r="Q84" i="35"/>
  <c r="L84" i="38"/>
  <c r="L86" i="38"/>
  <c r="E41" i="38" s="1"/>
  <c r="L83" i="38"/>
  <c r="L85" i="38"/>
  <c r="C27" i="4"/>
  <c r="D27" i="4"/>
  <c r="E27" i="4"/>
  <c r="F27" i="4"/>
  <c r="G27" i="4"/>
  <c r="H27" i="4"/>
  <c r="I27" i="4"/>
  <c r="M27" i="4"/>
  <c r="N27" i="4"/>
  <c r="P27" i="4"/>
  <c r="Q27" i="4"/>
  <c r="R27" i="4"/>
  <c r="S27" i="4"/>
  <c r="T27" i="4"/>
  <c r="V27" i="4"/>
  <c r="W27" i="4"/>
  <c r="X27" i="4"/>
  <c r="Y27" i="4"/>
  <c r="C26" i="4"/>
  <c r="D26" i="4"/>
  <c r="E26" i="4"/>
  <c r="F26" i="4"/>
  <c r="G26" i="4"/>
  <c r="H26" i="4"/>
  <c r="I26" i="4"/>
  <c r="J26" i="4"/>
  <c r="K26" i="4"/>
  <c r="L26" i="4"/>
  <c r="M26" i="4"/>
  <c r="O26" i="4"/>
  <c r="P26" i="4"/>
  <c r="Q26" i="4"/>
  <c r="T26" i="4"/>
  <c r="V26" i="4"/>
  <c r="W26" i="4"/>
  <c r="X26" i="4"/>
  <c r="C25" i="4"/>
  <c r="D25" i="4"/>
  <c r="E25" i="4"/>
  <c r="F25" i="4"/>
  <c r="G25" i="4"/>
  <c r="G24" i="4" s="1"/>
  <c r="G3" i="9" s="1"/>
  <c r="H25" i="4"/>
  <c r="I25" i="4"/>
  <c r="I24" i="4" s="1"/>
  <c r="I9" i="9" s="1"/>
  <c r="J25" i="4"/>
  <c r="K25" i="4"/>
  <c r="L25" i="4"/>
  <c r="M25" i="4"/>
  <c r="N25" i="4"/>
  <c r="O25" i="4"/>
  <c r="P25" i="4"/>
  <c r="Q25" i="4"/>
  <c r="Q24" i="4" s="1"/>
  <c r="Q9" i="9" s="1"/>
  <c r="R25" i="4"/>
  <c r="S25" i="4"/>
  <c r="T25" i="4"/>
  <c r="U25" i="4"/>
  <c r="V25" i="4"/>
  <c r="W25" i="4"/>
  <c r="W24" i="4" s="1"/>
  <c r="W3" i="9" s="1"/>
  <c r="X25" i="4"/>
  <c r="Y25" i="4"/>
  <c r="B27" i="4"/>
  <c r="B26" i="4"/>
  <c r="B11" i="9" s="1"/>
  <c r="B25" i="4"/>
  <c r="B24" i="4" s="1"/>
  <c r="B19" i="9"/>
  <c r="E21" i="7"/>
  <c r="E15" i="7"/>
  <c r="T14" i="7"/>
  <c r="S11" i="7"/>
  <c r="E7" i="7"/>
  <c r="N5" i="7"/>
  <c r="E5" i="7"/>
  <c r="E24" i="1"/>
  <c r="E3" i="7" s="1"/>
  <c r="N24" i="1"/>
  <c r="N10" i="7" s="1"/>
  <c r="Y26" i="1"/>
  <c r="C27" i="1"/>
  <c r="D27" i="1"/>
  <c r="E27" i="1"/>
  <c r="F27" i="1"/>
  <c r="G27" i="1"/>
  <c r="H27" i="1"/>
  <c r="I27" i="1"/>
  <c r="J27" i="1"/>
  <c r="K27" i="1"/>
  <c r="M27" i="1"/>
  <c r="N27" i="1"/>
  <c r="N17" i="7" s="1"/>
  <c r="O27" i="1"/>
  <c r="P27" i="1"/>
  <c r="Q27" i="1"/>
  <c r="R27" i="1"/>
  <c r="S27" i="1"/>
  <c r="T27" i="1"/>
  <c r="V27" i="1"/>
  <c r="W27" i="1"/>
  <c r="W24" i="1" s="1"/>
  <c r="W12" i="7" s="1"/>
  <c r="X27" i="1"/>
  <c r="Y27" i="1"/>
  <c r="E26" i="1"/>
  <c r="E10" i="7" s="1"/>
  <c r="J26" i="1"/>
  <c r="L26" i="1"/>
  <c r="M26" i="1"/>
  <c r="N26" i="1"/>
  <c r="N11" i="7" s="1"/>
  <c r="O26" i="1"/>
  <c r="P26" i="1"/>
  <c r="Q26" i="1"/>
  <c r="Q24" i="1" s="1"/>
  <c r="S26" i="1"/>
  <c r="T26" i="1"/>
  <c r="U26" i="1"/>
  <c r="V26" i="1"/>
  <c r="W26" i="1"/>
  <c r="X26" i="1"/>
  <c r="X24" i="1" s="1"/>
  <c r="C25" i="1"/>
  <c r="D25" i="1"/>
  <c r="E25" i="1"/>
  <c r="E4" i="7" s="1"/>
  <c r="F25" i="1"/>
  <c r="G25" i="1"/>
  <c r="H25" i="1"/>
  <c r="I25" i="1"/>
  <c r="K25" i="1"/>
  <c r="L25" i="1"/>
  <c r="M25" i="1"/>
  <c r="N25" i="1"/>
  <c r="N4" i="7" s="1"/>
  <c r="O25" i="1"/>
  <c r="P25" i="1"/>
  <c r="Q25" i="1"/>
  <c r="R25" i="1"/>
  <c r="S25" i="1"/>
  <c r="S24" i="1" s="1"/>
  <c r="T25" i="1"/>
  <c r="T24" i="1" s="1"/>
  <c r="T6" i="7" s="1"/>
  <c r="V25" i="1"/>
  <c r="W25" i="1"/>
  <c r="X25" i="1"/>
  <c r="Y25" i="1"/>
  <c r="Y24" i="1" s="1"/>
  <c r="Y3" i="7" s="1"/>
  <c r="B27" i="1"/>
  <c r="R86" i="38" l="1"/>
  <c r="I40" i="35"/>
  <c r="E40" i="38"/>
  <c r="G38" i="38"/>
  <c r="L38" i="38" s="1"/>
  <c r="I41" i="38"/>
  <c r="H41" i="38"/>
  <c r="M41" i="38" s="1"/>
  <c r="Q85" i="38"/>
  <c r="R85" i="38" s="1"/>
  <c r="I39" i="35"/>
  <c r="G39" i="35"/>
  <c r="L39" i="35" s="1"/>
  <c r="G40" i="35"/>
  <c r="L40" i="35" s="1"/>
  <c r="E38" i="38"/>
  <c r="R83" i="38"/>
  <c r="I38" i="35"/>
  <c r="G41" i="38"/>
  <c r="L41" i="38" s="1"/>
  <c r="G39" i="38"/>
  <c r="L39" i="38" s="1"/>
  <c r="H39" i="38"/>
  <c r="M39" i="38" s="1"/>
  <c r="I39" i="38"/>
  <c r="I40" i="38"/>
  <c r="G40" i="38"/>
  <c r="L40" i="38" s="1"/>
  <c r="R84" i="38"/>
  <c r="E39" i="38"/>
  <c r="Q85" i="35"/>
  <c r="R85" i="35" s="1"/>
  <c r="Q86" i="35"/>
  <c r="R86" i="35" s="1"/>
  <c r="E38" i="35"/>
  <c r="J40" i="35" s="1"/>
  <c r="R83" i="35"/>
  <c r="G41" i="35"/>
  <c r="L41" i="35" s="1"/>
  <c r="G38" i="35"/>
  <c r="L38" i="35" s="1"/>
  <c r="R84" i="35"/>
  <c r="E39" i="35"/>
  <c r="I38" i="38"/>
  <c r="I41" i="35"/>
  <c r="E41" i="35"/>
  <c r="X5" i="7"/>
  <c r="X3" i="7"/>
  <c r="X13" i="7"/>
  <c r="X19" i="7"/>
  <c r="X8" i="7"/>
  <c r="X18" i="7"/>
  <c r="X20" i="7"/>
  <c r="X14" i="7"/>
  <c r="X6" i="7"/>
  <c r="X22" i="7"/>
  <c r="X12" i="7"/>
  <c r="X16" i="7"/>
  <c r="X9" i="7"/>
  <c r="X7" i="7"/>
  <c r="X15" i="7"/>
  <c r="X21" i="7"/>
  <c r="V11" i="7"/>
  <c r="O24" i="1"/>
  <c r="X17" i="7"/>
  <c r="X4" i="7"/>
  <c r="T10" i="7"/>
  <c r="T17" i="7"/>
  <c r="N3" i="7"/>
  <c r="S10" i="7"/>
  <c r="S17" i="7"/>
  <c r="Y11" i="7"/>
  <c r="T9" i="7"/>
  <c r="T18" i="7"/>
  <c r="T22" i="7"/>
  <c r="T12" i="7"/>
  <c r="T21" i="7"/>
  <c r="T15" i="7"/>
  <c r="T7" i="7"/>
  <c r="T5" i="7"/>
  <c r="T3" i="7"/>
  <c r="T11" i="7"/>
  <c r="T19" i="7"/>
  <c r="T13" i="7"/>
  <c r="T4" i="7"/>
  <c r="T8" i="7"/>
  <c r="T16" i="7"/>
  <c r="Y16" i="7"/>
  <c r="Y22" i="7"/>
  <c r="Y19" i="7"/>
  <c r="Y13" i="7"/>
  <c r="Y8" i="7"/>
  <c r="Y21" i="7"/>
  <c r="Y15" i="7"/>
  <c r="Y20" i="7"/>
  <c r="Y14" i="7"/>
  <c r="Y6" i="7"/>
  <c r="Y9" i="7"/>
  <c r="Y7" i="7"/>
  <c r="Y18" i="7"/>
  <c r="Y12" i="7"/>
  <c r="Y5" i="7"/>
  <c r="S20" i="7"/>
  <c r="S16" i="7"/>
  <c r="S14" i="7"/>
  <c r="S6" i="7"/>
  <c r="S9" i="7"/>
  <c r="S22" i="7"/>
  <c r="S18" i="7"/>
  <c r="S12" i="7"/>
  <c r="S8" i="7"/>
  <c r="S21" i="7"/>
  <c r="S15" i="7"/>
  <c r="S7" i="7"/>
  <c r="S3" i="7"/>
  <c r="S5" i="7"/>
  <c r="S19" i="7"/>
  <c r="S13" i="7"/>
  <c r="P24" i="1"/>
  <c r="P4" i="7" s="1"/>
  <c r="S4" i="7"/>
  <c r="Y10" i="7"/>
  <c r="O10" i="7"/>
  <c r="X10" i="7"/>
  <c r="X11" i="7"/>
  <c r="Y17" i="7"/>
  <c r="N22" i="7"/>
  <c r="N19" i="7"/>
  <c r="N13" i="7"/>
  <c r="N8" i="7"/>
  <c r="N20" i="7"/>
  <c r="N16" i="7"/>
  <c r="N14" i="7"/>
  <c r="N6" i="7"/>
  <c r="N7" i="7"/>
  <c r="N9" i="7"/>
  <c r="N21" i="7"/>
  <c r="N18" i="7"/>
  <c r="N12" i="7"/>
  <c r="N15" i="7"/>
  <c r="O17" i="7"/>
  <c r="T20" i="7"/>
  <c r="V24" i="1"/>
  <c r="E9" i="7"/>
  <c r="E18" i="7"/>
  <c r="B21" i="9"/>
  <c r="B12" i="9"/>
  <c r="B7" i="9"/>
  <c r="B20" i="9"/>
  <c r="B18" i="9"/>
  <c r="B15" i="9"/>
  <c r="B9" i="9"/>
  <c r="B5" i="9"/>
  <c r="B14" i="9"/>
  <c r="B3" i="9"/>
  <c r="B8" i="9"/>
  <c r="B22" i="9"/>
  <c r="B13" i="9"/>
  <c r="M24" i="1"/>
  <c r="E14" i="7"/>
  <c r="E20" i="7"/>
  <c r="E24" i="4"/>
  <c r="E6" i="7"/>
  <c r="E11" i="7"/>
  <c r="E16" i="7"/>
  <c r="E12" i="7"/>
  <c r="Y4" i="7"/>
  <c r="E8" i="7"/>
  <c r="E22" i="7"/>
  <c r="E17" i="7"/>
  <c r="E19" i="7"/>
  <c r="E13" i="7"/>
  <c r="B6" i="9"/>
  <c r="I3" i="9"/>
  <c r="T24" i="4"/>
  <c r="D24" i="4"/>
  <c r="C24" i="4"/>
  <c r="C3" i="9" s="1"/>
  <c r="B10" i="26"/>
  <c r="B9" i="26"/>
  <c r="F24" i="4"/>
  <c r="F7" i="9" s="1"/>
  <c r="M24" i="4"/>
  <c r="M3" i="9" s="1"/>
  <c r="M22" i="9"/>
  <c r="M12" i="9"/>
  <c r="M16" i="9"/>
  <c r="F18" i="9"/>
  <c r="F6" i="9"/>
  <c r="F8" i="9"/>
  <c r="F5" i="9"/>
  <c r="E21" i="9"/>
  <c r="P24" i="4"/>
  <c r="P20" i="9" s="1"/>
  <c r="G16" i="9"/>
  <c r="V24" i="4"/>
  <c r="V16" i="9" s="1"/>
  <c r="Q3" i="9"/>
  <c r="E6" i="9"/>
  <c r="V8" i="9"/>
  <c r="V13" i="9"/>
  <c r="C15" i="9"/>
  <c r="C11" i="9"/>
  <c r="C11" i="10" s="1"/>
  <c r="C4" i="9"/>
  <c r="M5" i="9"/>
  <c r="M8" i="9"/>
  <c r="X24" i="4"/>
  <c r="E4" i="9"/>
  <c r="M6" i="9"/>
  <c r="E7" i="9"/>
  <c r="E10" i="9"/>
  <c r="E5" i="9"/>
  <c r="F19" i="9"/>
  <c r="M20" i="9"/>
  <c r="H24" i="4"/>
  <c r="H11" i="9" s="1"/>
  <c r="E3" i="9"/>
  <c r="M4" i="9"/>
  <c r="M7" i="9"/>
  <c r="E8" i="9"/>
  <c r="M14" i="9"/>
  <c r="E16" i="9"/>
  <c r="W16" i="9"/>
  <c r="M19" i="9"/>
  <c r="T21" i="9"/>
  <c r="T18" i="9"/>
  <c r="T6" i="9"/>
  <c r="T16" i="9"/>
  <c r="T9" i="9"/>
  <c r="T5" i="9"/>
  <c r="T19" i="9"/>
  <c r="T15" i="9"/>
  <c r="T14" i="9"/>
  <c r="T13" i="9"/>
  <c r="T12" i="9"/>
  <c r="T11" i="9"/>
  <c r="T10" i="9"/>
  <c r="T22" i="9"/>
  <c r="T8" i="9"/>
  <c r="T4" i="9"/>
  <c r="T20" i="9"/>
  <c r="T7" i="9"/>
  <c r="T3" i="9"/>
  <c r="T17" i="9"/>
  <c r="D18" i="9"/>
  <c r="D8" i="9"/>
  <c r="D4" i="9"/>
  <c r="D21" i="9"/>
  <c r="D7" i="9"/>
  <c r="D3" i="9"/>
  <c r="D19" i="9"/>
  <c r="D22" i="9"/>
  <c r="D6" i="9"/>
  <c r="D16" i="9"/>
  <c r="D5" i="9"/>
  <c r="D17" i="9"/>
  <c r="D15" i="9"/>
  <c r="D14" i="9"/>
  <c r="D13" i="9"/>
  <c r="D12" i="9"/>
  <c r="D11" i="9"/>
  <c r="D10" i="9"/>
  <c r="D20" i="9"/>
  <c r="D9" i="9"/>
  <c r="E20" i="9"/>
  <c r="E11" i="9"/>
  <c r="E12" i="9"/>
  <c r="E13" i="9"/>
  <c r="E14" i="9"/>
  <c r="E15" i="9"/>
  <c r="F16" i="9"/>
  <c r="E17" i="9"/>
  <c r="F20" i="9"/>
  <c r="M21" i="9"/>
  <c r="C7" i="9"/>
  <c r="F10" i="9"/>
  <c r="F11" i="9"/>
  <c r="F12" i="9"/>
  <c r="F13" i="9"/>
  <c r="F14" i="9"/>
  <c r="F15" i="9"/>
  <c r="F17" i="9"/>
  <c r="M18" i="9"/>
  <c r="E22" i="9"/>
  <c r="E19" i="9"/>
  <c r="F22" i="9"/>
  <c r="C5" i="9"/>
  <c r="G17" i="9"/>
  <c r="W17" i="9"/>
  <c r="G18" i="9"/>
  <c r="W18" i="9"/>
  <c r="G19" i="9"/>
  <c r="W19" i="9"/>
  <c r="G20" i="9"/>
  <c r="W20" i="9"/>
  <c r="G21" i="9"/>
  <c r="W21" i="9"/>
  <c r="G22" i="9"/>
  <c r="W22" i="9"/>
  <c r="G10" i="9"/>
  <c r="W10" i="9"/>
  <c r="G11" i="9"/>
  <c r="W11" i="9"/>
  <c r="G12" i="9"/>
  <c r="W12" i="9"/>
  <c r="G13" i="9"/>
  <c r="W13" i="9"/>
  <c r="G14" i="9"/>
  <c r="W14" i="9"/>
  <c r="G15" i="9"/>
  <c r="W15" i="9"/>
  <c r="I17" i="9"/>
  <c r="Q17" i="9"/>
  <c r="I18" i="9"/>
  <c r="Q18" i="9"/>
  <c r="I19" i="9"/>
  <c r="Q19" i="9"/>
  <c r="I20" i="9"/>
  <c r="Q20" i="9"/>
  <c r="I21" i="9"/>
  <c r="Q21" i="9"/>
  <c r="I22" i="9"/>
  <c r="Q22" i="9"/>
  <c r="G4" i="9"/>
  <c r="W4" i="9"/>
  <c r="G5" i="9"/>
  <c r="W5" i="9"/>
  <c r="G6" i="9"/>
  <c r="W6" i="9"/>
  <c r="G7" i="9"/>
  <c r="W7" i="9"/>
  <c r="G8" i="9"/>
  <c r="W8" i="9"/>
  <c r="G9" i="9"/>
  <c r="W9" i="9"/>
  <c r="I16" i="9"/>
  <c r="Q16" i="9"/>
  <c r="I10" i="9"/>
  <c r="Q10" i="9"/>
  <c r="I11" i="9"/>
  <c r="Q11" i="9"/>
  <c r="I12" i="9"/>
  <c r="Q12" i="9"/>
  <c r="I13" i="9"/>
  <c r="Q13" i="9"/>
  <c r="I14" i="9"/>
  <c r="Q14" i="9"/>
  <c r="I15" i="9"/>
  <c r="Q15" i="9"/>
  <c r="C18" i="9"/>
  <c r="C19" i="9"/>
  <c r="B19" i="10" s="1"/>
  <c r="C21" i="9"/>
  <c r="I4" i="9"/>
  <c r="Q4" i="9"/>
  <c r="I5" i="9"/>
  <c r="Q5" i="9"/>
  <c r="I6" i="9"/>
  <c r="Q6" i="9"/>
  <c r="I7" i="9"/>
  <c r="Q7" i="9"/>
  <c r="I8" i="9"/>
  <c r="Q8" i="9"/>
  <c r="B4" i="9"/>
  <c r="B10" i="9"/>
  <c r="B17" i="9"/>
  <c r="W21" i="7"/>
  <c r="W7" i="7"/>
  <c r="W11" i="7"/>
  <c r="W15" i="7"/>
  <c r="W17" i="7"/>
  <c r="W20" i="7"/>
  <c r="W8" i="7"/>
  <c r="W4" i="7"/>
  <c r="W6" i="7"/>
  <c r="W10" i="7"/>
  <c r="W14" i="7"/>
  <c r="W19" i="7"/>
  <c r="W3" i="7"/>
  <c r="W16" i="7"/>
  <c r="W9" i="7"/>
  <c r="W13" i="7"/>
  <c r="W18" i="7"/>
  <c r="W22" i="7"/>
  <c r="W5" i="7"/>
  <c r="Q5" i="7"/>
  <c r="Q13" i="7"/>
  <c r="Q14" i="7"/>
  <c r="Q6" i="7"/>
  <c r="Q18" i="7"/>
  <c r="Q9" i="7"/>
  <c r="Q15" i="7"/>
  <c r="Q7" i="7"/>
  <c r="Q8" i="7"/>
  <c r="Q4" i="7"/>
  <c r="Q3" i="7"/>
  <c r="Q19" i="7"/>
  <c r="Q20" i="7"/>
  <c r="Q16" i="7"/>
  <c r="Q12" i="7"/>
  <c r="Q21" i="7"/>
  <c r="Q22" i="7"/>
  <c r="Q17" i="7"/>
  <c r="Q11" i="7"/>
  <c r="Q10" i="7"/>
  <c r="J41" i="38" l="1"/>
  <c r="S27" i="35"/>
  <c r="J27" i="35"/>
  <c r="F46" i="35" s="1"/>
  <c r="B27" i="35"/>
  <c r="B46" i="35" s="1"/>
  <c r="L27" i="35"/>
  <c r="G46" i="35" s="1"/>
  <c r="L32" i="35"/>
  <c r="G51" i="35" s="1"/>
  <c r="D27" i="35"/>
  <c r="C46" i="35" s="1"/>
  <c r="J32" i="35"/>
  <c r="F51" i="35" s="1"/>
  <c r="H32" i="35"/>
  <c r="E51" i="35" s="1"/>
  <c r="F27" i="35"/>
  <c r="D46" i="35" s="1"/>
  <c r="F32" i="35"/>
  <c r="D51" i="35" s="1"/>
  <c r="H27" i="35"/>
  <c r="E46" i="35" s="1"/>
  <c r="D32" i="35"/>
  <c r="C51" i="35" s="1"/>
  <c r="B32" i="35"/>
  <c r="B51" i="35" s="1"/>
  <c r="O32" i="35"/>
  <c r="J51" i="35" s="1"/>
  <c r="L51" i="35" s="1"/>
  <c r="O27" i="35"/>
  <c r="J46" i="35" s="1"/>
  <c r="L46" i="35" s="1"/>
  <c r="Q32" i="35"/>
  <c r="J41" i="35"/>
  <c r="H41" i="35"/>
  <c r="M41" i="35" s="1"/>
  <c r="H40" i="38"/>
  <c r="M40" i="38" s="1"/>
  <c r="J38" i="38"/>
  <c r="J38" i="35"/>
  <c r="H40" i="35"/>
  <c r="M40" i="35" s="1"/>
  <c r="H38" i="38"/>
  <c r="M38" i="38" s="1"/>
  <c r="J39" i="35"/>
  <c r="S26" i="35"/>
  <c r="J31" i="35"/>
  <c r="F50" i="35" s="1"/>
  <c r="L26" i="35"/>
  <c r="G45" i="35" s="1"/>
  <c r="D31" i="35"/>
  <c r="C50" i="35" s="1"/>
  <c r="H26" i="35"/>
  <c r="E45" i="35" s="1"/>
  <c r="H31" i="35"/>
  <c r="E50" i="35" s="1"/>
  <c r="F31" i="35"/>
  <c r="D50" i="35" s="1"/>
  <c r="D26" i="35"/>
  <c r="C45" i="35" s="1"/>
  <c r="F26" i="35"/>
  <c r="D45" i="35" s="1"/>
  <c r="B31" i="35"/>
  <c r="B50" i="35" s="1"/>
  <c r="J26" i="35"/>
  <c r="F45" i="35" s="1"/>
  <c r="B26" i="35"/>
  <c r="B45" i="35" s="1"/>
  <c r="L31" i="35"/>
  <c r="G50" i="35" s="1"/>
  <c r="O31" i="35"/>
  <c r="J50" i="35" s="1"/>
  <c r="Q31" i="35"/>
  <c r="O26" i="35"/>
  <c r="J45" i="35" s="1"/>
  <c r="S27" i="38"/>
  <c r="J32" i="38"/>
  <c r="F51" i="38" s="1"/>
  <c r="H27" i="38"/>
  <c r="E46" i="38" s="1"/>
  <c r="L27" i="38"/>
  <c r="G46" i="38" s="1"/>
  <c r="L32" i="38"/>
  <c r="G51" i="38" s="1"/>
  <c r="D32" i="38"/>
  <c r="C51" i="38" s="1"/>
  <c r="D27" i="38"/>
  <c r="C46" i="38" s="1"/>
  <c r="J27" i="38"/>
  <c r="F46" i="38" s="1"/>
  <c r="H32" i="38"/>
  <c r="E51" i="38" s="1"/>
  <c r="F32" i="38"/>
  <c r="D51" i="38" s="1"/>
  <c r="F27" i="38"/>
  <c r="D46" i="38" s="1"/>
  <c r="B32" i="38"/>
  <c r="B51" i="38" s="1"/>
  <c r="B27" i="38"/>
  <c r="B46" i="38" s="1"/>
  <c r="O32" i="38"/>
  <c r="J51" i="38" s="1"/>
  <c r="L51" i="38" s="1"/>
  <c r="O27" i="38"/>
  <c r="J46" i="38" s="1"/>
  <c r="L46" i="38" s="1"/>
  <c r="Q32" i="38"/>
  <c r="S28" i="38"/>
  <c r="H33" i="38"/>
  <c r="E52" i="38" s="1"/>
  <c r="H28" i="38"/>
  <c r="E47" i="38" s="1"/>
  <c r="J33" i="38"/>
  <c r="F52" i="38" s="1"/>
  <c r="L28" i="38"/>
  <c r="G47" i="38" s="1"/>
  <c r="D33" i="38"/>
  <c r="C52" i="38" s="1"/>
  <c r="L33" i="38"/>
  <c r="G52" i="38" s="1"/>
  <c r="D28" i="38"/>
  <c r="C47" i="38" s="1"/>
  <c r="J28" i="38"/>
  <c r="F47" i="38" s="1"/>
  <c r="B33" i="38"/>
  <c r="B52" i="38" s="1"/>
  <c r="B28" i="38"/>
  <c r="B47" i="38" s="1"/>
  <c r="F33" i="38"/>
  <c r="D52" i="38" s="1"/>
  <c r="F28" i="38"/>
  <c r="D47" i="38" s="1"/>
  <c r="Q33" i="38"/>
  <c r="O33" i="38"/>
  <c r="J52" i="38" s="1"/>
  <c r="O28" i="38"/>
  <c r="J47" i="38" s="1"/>
  <c r="H39" i="35"/>
  <c r="M39" i="35" s="1"/>
  <c r="S26" i="38"/>
  <c r="J26" i="38"/>
  <c r="F45" i="38" s="1"/>
  <c r="J31" i="38"/>
  <c r="F50" i="38" s="1"/>
  <c r="L26" i="38"/>
  <c r="G45" i="38" s="1"/>
  <c r="D31" i="38"/>
  <c r="C50" i="38" s="1"/>
  <c r="L31" i="38"/>
  <c r="G50" i="38" s="1"/>
  <c r="H26" i="38"/>
  <c r="E45" i="38" s="1"/>
  <c r="D26" i="38"/>
  <c r="C45" i="38" s="1"/>
  <c r="H31" i="38"/>
  <c r="E50" i="38" s="1"/>
  <c r="B31" i="38"/>
  <c r="B50" i="38" s="1"/>
  <c r="B26" i="38"/>
  <c r="B45" i="38" s="1"/>
  <c r="F31" i="38"/>
  <c r="D50" i="38" s="1"/>
  <c r="F26" i="38"/>
  <c r="D45" i="38" s="1"/>
  <c r="Q31" i="38"/>
  <c r="O31" i="38"/>
  <c r="J50" i="38" s="1"/>
  <c r="O26" i="38"/>
  <c r="J45" i="38" s="1"/>
  <c r="H38" i="35"/>
  <c r="M38" i="35" s="1"/>
  <c r="J39" i="38"/>
  <c r="S28" i="35"/>
  <c r="D28" i="35"/>
  <c r="C47" i="35" s="1"/>
  <c r="L28" i="35"/>
  <c r="G47" i="35" s="1"/>
  <c r="L33" i="35"/>
  <c r="G52" i="35" s="1"/>
  <c r="F28" i="35"/>
  <c r="D47" i="35" s="1"/>
  <c r="F33" i="35"/>
  <c r="D52" i="35" s="1"/>
  <c r="B28" i="35"/>
  <c r="B47" i="35" s="1"/>
  <c r="B33" i="35"/>
  <c r="B52" i="35" s="1"/>
  <c r="H33" i="35"/>
  <c r="E52" i="35" s="1"/>
  <c r="J33" i="35"/>
  <c r="F52" i="35" s="1"/>
  <c r="H28" i="35"/>
  <c r="E47" i="35" s="1"/>
  <c r="J28" i="35"/>
  <c r="F47" i="35" s="1"/>
  <c r="D33" i="35"/>
  <c r="C52" i="35" s="1"/>
  <c r="O28" i="35"/>
  <c r="J47" i="35" s="1"/>
  <c r="Q33" i="35"/>
  <c r="O33" i="35"/>
  <c r="J52" i="35" s="1"/>
  <c r="J40" i="38"/>
  <c r="B14" i="26"/>
  <c r="C16" i="9"/>
  <c r="C10" i="9"/>
  <c r="C10" i="10" s="1"/>
  <c r="E18" i="9"/>
  <c r="E9" i="9"/>
  <c r="M5" i="7"/>
  <c r="M3" i="7"/>
  <c r="M19" i="7"/>
  <c r="M17" i="7"/>
  <c r="M13" i="7"/>
  <c r="M8" i="7"/>
  <c r="M22" i="7"/>
  <c r="M20" i="7"/>
  <c r="M16" i="7"/>
  <c r="M14" i="7"/>
  <c r="M6" i="7"/>
  <c r="M9" i="7"/>
  <c r="M18" i="7"/>
  <c r="M12" i="7"/>
  <c r="M7" i="7"/>
  <c r="M15" i="7"/>
  <c r="M21" i="7"/>
  <c r="C15" i="10"/>
  <c r="B15" i="10"/>
  <c r="B5" i="26"/>
  <c r="C19" i="10"/>
  <c r="C20" i="9"/>
  <c r="C20" i="10" s="1"/>
  <c r="C9" i="9"/>
  <c r="C9" i="10" s="1"/>
  <c r="M13" i="9"/>
  <c r="C13" i="9"/>
  <c r="C13" i="10" s="1"/>
  <c r="C12" i="9"/>
  <c r="C12" i="10" s="1"/>
  <c r="V4" i="9"/>
  <c r="F4" i="9"/>
  <c r="F21" i="9"/>
  <c r="B12" i="26"/>
  <c r="B8" i="26"/>
  <c r="C18" i="10"/>
  <c r="B18" i="10"/>
  <c r="V21" i="7"/>
  <c r="L21" i="8" s="1"/>
  <c r="V15" i="7"/>
  <c r="L15" i="8" s="1"/>
  <c r="V7" i="7"/>
  <c r="V10" i="7"/>
  <c r="V5" i="7"/>
  <c r="V3" i="7"/>
  <c r="V16" i="7"/>
  <c r="L16" i="8" s="1"/>
  <c r="V19" i="7"/>
  <c r="V13" i="7"/>
  <c r="L13" i="8" s="1"/>
  <c r="V8" i="7"/>
  <c r="M8" i="8" s="1"/>
  <c r="V20" i="7"/>
  <c r="V14" i="7"/>
  <c r="V6" i="7"/>
  <c r="V9" i="7"/>
  <c r="V22" i="7"/>
  <c r="M22" i="8" s="1"/>
  <c r="V12" i="7"/>
  <c r="V18" i="7"/>
  <c r="L18" i="8" s="1"/>
  <c r="M4" i="7"/>
  <c r="B6" i="26"/>
  <c r="C4" i="10"/>
  <c r="B4" i="10"/>
  <c r="E11" i="10"/>
  <c r="D11" i="10"/>
  <c r="D11" i="13" s="1"/>
  <c r="M9" i="9"/>
  <c r="C17" i="9"/>
  <c r="C22" i="9"/>
  <c r="C22" i="10" s="1"/>
  <c r="F9" i="9"/>
  <c r="M15" i="9"/>
  <c r="B11" i="10"/>
  <c r="P17" i="7"/>
  <c r="H17" i="8" s="1"/>
  <c r="M10" i="7"/>
  <c r="B11" i="26"/>
  <c r="C5" i="10"/>
  <c r="B5" i="10"/>
  <c r="M17" i="9"/>
  <c r="C14" i="9"/>
  <c r="B14" i="10" s="1"/>
  <c r="F3" i="9"/>
  <c r="M11" i="9"/>
  <c r="B13" i="26"/>
  <c r="C8" i="10"/>
  <c r="B8" i="10"/>
  <c r="C7" i="10"/>
  <c r="B7" i="10"/>
  <c r="P10" i="7"/>
  <c r="I10" i="8" s="1"/>
  <c r="V4" i="7"/>
  <c r="V17" i="7"/>
  <c r="L17" i="8" s="1"/>
  <c r="O8" i="7"/>
  <c r="O11" i="7"/>
  <c r="O4" i="7"/>
  <c r="I4" i="8" s="1"/>
  <c r="O20" i="7"/>
  <c r="O16" i="7"/>
  <c r="O14" i="7"/>
  <c r="H14" i="8" s="1"/>
  <c r="O6" i="7"/>
  <c r="O5" i="7"/>
  <c r="O3" i="7"/>
  <c r="O22" i="7"/>
  <c r="O9" i="7"/>
  <c r="I9" i="8" s="1"/>
  <c r="O18" i="7"/>
  <c r="O12" i="7"/>
  <c r="O21" i="7"/>
  <c r="H21" i="8" s="1"/>
  <c r="O15" i="7"/>
  <c r="O7" i="7"/>
  <c r="O13" i="7"/>
  <c r="O19" i="7"/>
  <c r="B6" i="10"/>
  <c r="C3" i="10"/>
  <c r="B3" i="10"/>
  <c r="P22" i="7"/>
  <c r="P16" i="7"/>
  <c r="P14" i="7"/>
  <c r="P6" i="7"/>
  <c r="H6" i="8" s="1"/>
  <c r="P20" i="7"/>
  <c r="H20" i="8" s="1"/>
  <c r="P9" i="7"/>
  <c r="P13" i="7"/>
  <c r="I13" i="8" s="1"/>
  <c r="P18" i="7"/>
  <c r="P12" i="7"/>
  <c r="P21" i="7"/>
  <c r="P15" i="7"/>
  <c r="H15" i="8" s="1"/>
  <c r="P7" i="7"/>
  <c r="P19" i="7"/>
  <c r="P5" i="7"/>
  <c r="P3" i="7"/>
  <c r="H3" i="8" s="1"/>
  <c r="P8" i="7"/>
  <c r="C17" i="10"/>
  <c r="B17" i="10"/>
  <c r="C6" i="9"/>
  <c r="C6" i="10" s="1"/>
  <c r="M10" i="9"/>
  <c r="E19" i="10"/>
  <c r="C8" i="9"/>
  <c r="B7" i="26"/>
  <c r="M11" i="7"/>
  <c r="C14" i="10"/>
  <c r="C21" i="10"/>
  <c r="B21" i="10"/>
  <c r="P11" i="7"/>
  <c r="P18" i="9"/>
  <c r="P15" i="9"/>
  <c r="P5" i="9"/>
  <c r="P12" i="9"/>
  <c r="P21" i="9"/>
  <c r="P4" i="9"/>
  <c r="P17" i="9"/>
  <c r="P6" i="9"/>
  <c r="P7" i="9"/>
  <c r="P8" i="9"/>
  <c r="P16" i="9"/>
  <c r="P10" i="9"/>
  <c r="P11" i="9"/>
  <c r="P9" i="9"/>
  <c r="P14" i="9"/>
  <c r="P22" i="9"/>
  <c r="P13" i="9"/>
  <c r="P19" i="9"/>
  <c r="P3" i="9"/>
  <c r="X11" i="9"/>
  <c r="X18" i="9"/>
  <c r="V22" i="9"/>
  <c r="V20" i="9"/>
  <c r="V6" i="9"/>
  <c r="V10" i="9"/>
  <c r="V21" i="9"/>
  <c r="V17" i="9"/>
  <c r="V9" i="9"/>
  <c r="V5" i="9"/>
  <c r="V14" i="9"/>
  <c r="V7" i="9"/>
  <c r="V18" i="9"/>
  <c r="V12" i="9"/>
  <c r="V11" i="9"/>
  <c r="V3" i="9"/>
  <c r="V19" i="9"/>
  <c r="V15" i="9"/>
  <c r="H5" i="9"/>
  <c r="E5" i="10" s="1"/>
  <c r="H19" i="9"/>
  <c r="D19" i="10" s="1"/>
  <c r="D19" i="13" s="1"/>
  <c r="H15" i="9"/>
  <c r="E15" i="10" s="1"/>
  <c r="H7" i="9"/>
  <c r="E7" i="10" s="1"/>
  <c r="H4" i="9"/>
  <c r="H17" i="9"/>
  <c r="D17" i="10" s="1"/>
  <c r="D17" i="13" s="1"/>
  <c r="H6" i="9"/>
  <c r="E6" i="10" s="1"/>
  <c r="H20" i="9"/>
  <c r="E20" i="10" s="1"/>
  <c r="H14" i="9"/>
  <c r="E14" i="10" s="1"/>
  <c r="H13" i="9"/>
  <c r="E13" i="10" s="1"/>
  <c r="H9" i="9"/>
  <c r="H21" i="9"/>
  <c r="H22" i="9"/>
  <c r="E22" i="10" s="1"/>
  <c r="H18" i="9"/>
  <c r="D18" i="10" s="1"/>
  <c r="D18" i="13" s="1"/>
  <c r="H16" i="9"/>
  <c r="E16" i="10" s="1"/>
  <c r="H12" i="9"/>
  <c r="E12" i="10" s="1"/>
  <c r="H8" i="9"/>
  <c r="E8" i="10" s="1"/>
  <c r="H3" i="9"/>
  <c r="H10" i="9"/>
  <c r="E10" i="10" s="1"/>
  <c r="X12" i="9"/>
  <c r="X21" i="9"/>
  <c r="X8" i="9"/>
  <c r="X5" i="9"/>
  <c r="X19" i="9"/>
  <c r="X17" i="9"/>
  <c r="X15" i="9"/>
  <c r="X3" i="9"/>
  <c r="X22" i="9"/>
  <c r="X14" i="9"/>
  <c r="X7" i="9"/>
  <c r="X4" i="9"/>
  <c r="X13" i="9"/>
  <c r="X9" i="9"/>
  <c r="X6" i="9"/>
  <c r="X20" i="9"/>
  <c r="X16" i="9"/>
  <c r="X10" i="9"/>
  <c r="L20" i="8"/>
  <c r="M20" i="8"/>
  <c r="L3" i="8"/>
  <c r="M3" i="8"/>
  <c r="M17" i="8"/>
  <c r="L19" i="8"/>
  <c r="M19" i="8"/>
  <c r="M5" i="8"/>
  <c r="L5" i="8"/>
  <c r="L14" i="8"/>
  <c r="M14" i="8"/>
  <c r="M11" i="8"/>
  <c r="L11" i="8"/>
  <c r="L10" i="8"/>
  <c r="M10" i="8"/>
  <c r="L7" i="8"/>
  <c r="M7" i="8"/>
  <c r="M18" i="8"/>
  <c r="L6" i="8"/>
  <c r="M6" i="8"/>
  <c r="M21" i="8"/>
  <c r="M13" i="8"/>
  <c r="M4" i="8"/>
  <c r="L4" i="8"/>
  <c r="L9" i="8"/>
  <c r="M9" i="8"/>
  <c r="I12" i="8"/>
  <c r="H12" i="8"/>
  <c r="I18" i="8"/>
  <c r="H18" i="8"/>
  <c r="H10" i="8"/>
  <c r="I6" i="8"/>
  <c r="I16" i="8"/>
  <c r="I22" i="8"/>
  <c r="I8" i="8"/>
  <c r="H8" i="8"/>
  <c r="H5" i="8"/>
  <c r="A64" i="38" l="1" a="1"/>
  <c r="A64" i="35" a="1"/>
  <c r="A72" i="38" a="1"/>
  <c r="A72" i="35" a="1"/>
  <c r="L15" i="26"/>
  <c r="L16" i="26"/>
  <c r="L17" i="26"/>
  <c r="D5" i="10"/>
  <c r="D5" i="13" s="1"/>
  <c r="E17" i="10"/>
  <c r="E18" i="10"/>
  <c r="D6" i="10"/>
  <c r="D6" i="13" s="1"/>
  <c r="E10" i="13"/>
  <c r="E10" i="32" s="1"/>
  <c r="E12" i="13"/>
  <c r="E12" i="32" s="1"/>
  <c r="E20" i="13"/>
  <c r="E20" i="32" s="1"/>
  <c r="D18" i="32"/>
  <c r="D17" i="32"/>
  <c r="D11" i="32"/>
  <c r="D6" i="32"/>
  <c r="E6" i="13"/>
  <c r="E6" i="32" s="1"/>
  <c r="E22" i="13"/>
  <c r="E22" i="32" s="1"/>
  <c r="E19" i="13"/>
  <c r="E19" i="32" s="1"/>
  <c r="E11" i="13"/>
  <c r="E11" i="32" s="1"/>
  <c r="E7" i="13"/>
  <c r="E7" i="32" s="1"/>
  <c r="G7" i="22"/>
  <c r="E17" i="13"/>
  <c r="E17" i="32" s="1"/>
  <c r="E18" i="13"/>
  <c r="E18" i="32" s="1"/>
  <c r="E16" i="13"/>
  <c r="E16" i="32" s="1"/>
  <c r="E15" i="13"/>
  <c r="E15" i="32" s="1"/>
  <c r="E13" i="13"/>
  <c r="E13" i="32" s="1"/>
  <c r="D19" i="32"/>
  <c r="E8" i="13"/>
  <c r="E8" i="32" s="1"/>
  <c r="E14" i="13"/>
  <c r="E14" i="32" s="1"/>
  <c r="E5" i="13"/>
  <c r="E5" i="32" s="1"/>
  <c r="H13" i="8"/>
  <c r="M15" i="8"/>
  <c r="I14" i="8"/>
  <c r="I19" i="8"/>
  <c r="I11" i="8"/>
  <c r="I3" i="8"/>
  <c r="H7" i="8"/>
  <c r="E5" i="21" s="1"/>
  <c r="F5" i="21" s="1"/>
  <c r="I5" i="8"/>
  <c r="H3" i="11"/>
  <c r="H3" i="31"/>
  <c r="I14" i="31"/>
  <c r="I14" i="11"/>
  <c r="H15" i="11"/>
  <c r="H15" i="31"/>
  <c r="I10" i="31"/>
  <c r="I10" i="11"/>
  <c r="M14" i="11"/>
  <c r="M14" i="31"/>
  <c r="I16" i="31"/>
  <c r="I16" i="11"/>
  <c r="H18" i="31"/>
  <c r="H18" i="11"/>
  <c r="M9" i="11"/>
  <c r="M9" i="31"/>
  <c r="M18" i="11"/>
  <c r="M18" i="31"/>
  <c r="L14" i="11"/>
  <c r="L14" i="31"/>
  <c r="L3" i="31"/>
  <c r="L3" i="11"/>
  <c r="M3" i="31"/>
  <c r="M3" i="11"/>
  <c r="L5" i="31"/>
  <c r="L5" i="11"/>
  <c r="M8" i="11"/>
  <c r="M8" i="31"/>
  <c r="L15" i="31"/>
  <c r="L15" i="11"/>
  <c r="I13" i="11"/>
  <c r="I13" i="31"/>
  <c r="L6" i="11"/>
  <c r="L6" i="31"/>
  <c r="I18" i="31"/>
  <c r="I18" i="11"/>
  <c r="M7" i="11"/>
  <c r="M7" i="31"/>
  <c r="G3" i="21"/>
  <c r="H5" i="11"/>
  <c r="H5" i="31"/>
  <c r="I15" i="8"/>
  <c r="L4" i="11"/>
  <c r="L4" i="31"/>
  <c r="L7" i="31"/>
  <c r="L7" i="11"/>
  <c r="M5" i="31"/>
  <c r="M5" i="11"/>
  <c r="L20" i="31"/>
  <c r="L20" i="11"/>
  <c r="L18" i="11"/>
  <c r="L18" i="31"/>
  <c r="L13" i="31"/>
  <c r="L13" i="11"/>
  <c r="L21" i="31"/>
  <c r="L21" i="11"/>
  <c r="I3" i="11"/>
  <c r="I3" i="31"/>
  <c r="H21" i="31"/>
  <c r="H21" i="11"/>
  <c r="H14" i="31"/>
  <c r="H14" i="11"/>
  <c r="L9" i="31"/>
  <c r="L9" i="11"/>
  <c r="M20" i="31"/>
  <c r="T49" i="31" s="1"/>
  <c r="M20" i="11"/>
  <c r="H8" i="31"/>
  <c r="H8" i="11"/>
  <c r="M4" i="11"/>
  <c r="M4" i="31"/>
  <c r="M10" i="11"/>
  <c r="M10" i="31"/>
  <c r="M15" i="31"/>
  <c r="M15" i="11"/>
  <c r="H19" i="8"/>
  <c r="H20" i="11"/>
  <c r="H20" i="31"/>
  <c r="H17" i="11"/>
  <c r="H17" i="31"/>
  <c r="H12" i="31"/>
  <c r="H12" i="11"/>
  <c r="M13" i="31"/>
  <c r="M13" i="11"/>
  <c r="L10" i="11"/>
  <c r="L10" i="31"/>
  <c r="M19" i="31"/>
  <c r="M19" i="11"/>
  <c r="H6" i="31"/>
  <c r="H6" i="11"/>
  <c r="I9" i="11"/>
  <c r="I9" i="31"/>
  <c r="I4" i="11"/>
  <c r="I4" i="31"/>
  <c r="M22" i="31"/>
  <c r="M22" i="11"/>
  <c r="L16" i="11"/>
  <c r="L16" i="31"/>
  <c r="I8" i="31"/>
  <c r="I8" i="11"/>
  <c r="I22" i="31"/>
  <c r="I22" i="11"/>
  <c r="I6" i="11"/>
  <c r="I6" i="31"/>
  <c r="M21" i="31"/>
  <c r="M21" i="11"/>
  <c r="L11" i="31"/>
  <c r="L11" i="11"/>
  <c r="L19" i="31"/>
  <c r="L19" i="11"/>
  <c r="I19" i="11"/>
  <c r="I19" i="31"/>
  <c r="H22" i="8"/>
  <c r="I11" i="11"/>
  <c r="I11" i="31"/>
  <c r="I12" i="11"/>
  <c r="I12" i="31"/>
  <c r="H13" i="11"/>
  <c r="H13" i="31"/>
  <c r="H10" i="31"/>
  <c r="H10" i="11"/>
  <c r="I7" i="8"/>
  <c r="M6" i="11"/>
  <c r="M6" i="31"/>
  <c r="M11" i="31"/>
  <c r="M11" i="11"/>
  <c r="M17" i="11"/>
  <c r="M17" i="31"/>
  <c r="I21" i="8"/>
  <c r="H16" i="8"/>
  <c r="I5" i="11"/>
  <c r="I5" i="31"/>
  <c r="L17" i="31"/>
  <c r="L17" i="11"/>
  <c r="D15" i="10"/>
  <c r="D15" i="13" s="1"/>
  <c r="I20" i="8"/>
  <c r="E3" i="21"/>
  <c r="F3" i="21" s="1"/>
  <c r="D10" i="10"/>
  <c r="D10" i="13" s="1"/>
  <c r="B20" i="10"/>
  <c r="L12" i="8"/>
  <c r="M12" i="8"/>
  <c r="D13" i="10"/>
  <c r="D13" i="13" s="1"/>
  <c r="H4" i="8"/>
  <c r="L8" i="8"/>
  <c r="B9" i="10"/>
  <c r="D22" i="10"/>
  <c r="D22" i="13" s="1"/>
  <c r="B22" i="10"/>
  <c r="B13" i="10"/>
  <c r="D20" i="10"/>
  <c r="D20" i="13" s="1"/>
  <c r="C16" i="10"/>
  <c r="B16" i="10"/>
  <c r="I17" i="8"/>
  <c r="H11" i="8"/>
  <c r="H9" i="8"/>
  <c r="L22" i="8"/>
  <c r="M16" i="8"/>
  <c r="B12" i="10"/>
  <c r="D16" i="10"/>
  <c r="D16" i="13" s="1"/>
  <c r="B15" i="26"/>
  <c r="D7" i="10"/>
  <c r="D7" i="13" s="1"/>
  <c r="E8" i="22"/>
  <c r="F8" i="22" s="1"/>
  <c r="B10" i="10"/>
  <c r="D14" i="10"/>
  <c r="D14" i="13" s="1"/>
  <c r="D8" i="10"/>
  <c r="D8" i="13" s="1"/>
  <c r="E21" i="10"/>
  <c r="D21" i="10"/>
  <c r="D21" i="13" s="1"/>
  <c r="D12" i="10"/>
  <c r="D12" i="13" s="1"/>
  <c r="E9" i="10"/>
  <c r="D9" i="10"/>
  <c r="D9" i="13" s="1"/>
  <c r="E3" i="10"/>
  <c r="D3" i="10"/>
  <c r="E4" i="10"/>
  <c r="D4" i="10"/>
  <c r="D4" i="13" s="1"/>
  <c r="C65" i="35" l="1"/>
  <c r="C64" i="35"/>
  <c r="A64" i="35"/>
  <c r="A65" i="35"/>
  <c r="B69" i="35"/>
  <c r="D68" i="35"/>
  <c r="D70" i="35"/>
  <c r="B70" i="35"/>
  <c r="D69" i="35"/>
  <c r="D67" i="35"/>
  <c r="B67" i="35"/>
  <c r="D66" i="35"/>
  <c r="B66" i="35"/>
  <c r="D65" i="35"/>
  <c r="A69" i="35"/>
  <c r="C70" i="35"/>
  <c r="A70" i="35"/>
  <c r="C69" i="35"/>
  <c r="C68" i="35"/>
  <c r="A68" i="35"/>
  <c r="A67" i="35"/>
  <c r="B68" i="35"/>
  <c r="D64" i="35"/>
  <c r="C67" i="35"/>
  <c r="C66" i="35"/>
  <c r="A66" i="35"/>
  <c r="B65" i="35"/>
  <c r="B64" i="35"/>
  <c r="A74" i="35"/>
  <c r="B77" i="35"/>
  <c r="B78" i="35"/>
  <c r="B75" i="35"/>
  <c r="C76" i="35"/>
  <c r="B73" i="35"/>
  <c r="A73" i="35"/>
  <c r="D77" i="35"/>
  <c r="D76" i="35"/>
  <c r="D75" i="35"/>
  <c r="A77" i="35"/>
  <c r="C74" i="35"/>
  <c r="D74" i="35"/>
  <c r="B74" i="35"/>
  <c r="D72" i="35"/>
  <c r="C72" i="35"/>
  <c r="A78" i="35"/>
  <c r="C75" i="35"/>
  <c r="B72" i="35"/>
  <c r="D78" i="35"/>
  <c r="B76" i="35"/>
  <c r="D73" i="35"/>
  <c r="C77" i="35"/>
  <c r="A76" i="35"/>
  <c r="C73" i="35"/>
  <c r="C78" i="35"/>
  <c r="A72" i="35"/>
  <c r="A75" i="35"/>
  <c r="C76" i="38"/>
  <c r="D76" i="38"/>
  <c r="D75" i="38"/>
  <c r="C77" i="38"/>
  <c r="B76" i="38"/>
  <c r="D78" i="38"/>
  <c r="A72" i="38"/>
  <c r="A74" i="38"/>
  <c r="D74" i="38"/>
  <c r="D73" i="38"/>
  <c r="D77" i="38"/>
  <c r="B72" i="38"/>
  <c r="A77" i="38"/>
  <c r="C72" i="38"/>
  <c r="C74" i="38"/>
  <c r="A76" i="38"/>
  <c r="B77" i="38"/>
  <c r="B75" i="38"/>
  <c r="B78" i="38"/>
  <c r="B74" i="38"/>
  <c r="A78" i="38"/>
  <c r="C75" i="38"/>
  <c r="C73" i="38"/>
  <c r="C78" i="38"/>
  <c r="A75" i="38"/>
  <c r="A73" i="38"/>
  <c r="D72" i="38"/>
  <c r="B73" i="38"/>
  <c r="D69" i="38"/>
  <c r="C66" i="38"/>
  <c r="C65" i="38"/>
  <c r="B68" i="38"/>
  <c r="A67" i="38"/>
  <c r="D66" i="38"/>
  <c r="D68" i="38"/>
  <c r="D70" i="38"/>
  <c r="C68" i="38"/>
  <c r="B69" i="38"/>
  <c r="D64" i="38"/>
  <c r="B64" i="38"/>
  <c r="C67" i="38"/>
  <c r="C64" i="38"/>
  <c r="D65" i="38"/>
  <c r="A69" i="38"/>
  <c r="B70" i="38"/>
  <c r="A66" i="38"/>
  <c r="A68" i="38"/>
  <c r="A70" i="38"/>
  <c r="C69" i="38"/>
  <c r="B67" i="38"/>
  <c r="A65" i="38"/>
  <c r="B65" i="38"/>
  <c r="B66" i="38"/>
  <c r="A64" i="38"/>
  <c r="C70" i="38"/>
  <c r="D67" i="38"/>
  <c r="I47" i="11"/>
  <c r="M42" i="11"/>
  <c r="M48" i="11"/>
  <c r="D5" i="32"/>
  <c r="D8" i="32"/>
  <c r="D16" i="32"/>
  <c r="D15" i="32"/>
  <c r="D14" i="32"/>
  <c r="D22" i="32"/>
  <c r="E28" i="32"/>
  <c r="C57" i="32" s="1"/>
  <c r="D3" i="13"/>
  <c r="D13" i="32"/>
  <c r="D10" i="32"/>
  <c r="D4" i="32"/>
  <c r="E3" i="13"/>
  <c r="E3" i="32" s="1"/>
  <c r="E4" i="13"/>
  <c r="E4" i="32" s="1"/>
  <c r="D20" i="32"/>
  <c r="D12" i="32"/>
  <c r="D7" i="32"/>
  <c r="E9" i="13"/>
  <c r="E9" i="32" s="1"/>
  <c r="D21" i="32"/>
  <c r="D9" i="32"/>
  <c r="E21" i="13"/>
  <c r="E21" i="32" s="1"/>
  <c r="H7" i="31"/>
  <c r="H7" i="11"/>
  <c r="H9" i="11"/>
  <c r="H9" i="31"/>
  <c r="L8" i="11"/>
  <c r="L8" i="31"/>
  <c r="M26" i="31" s="1"/>
  <c r="G55" i="31" s="1"/>
  <c r="H11" i="11"/>
  <c r="H11" i="31"/>
  <c r="I27" i="31" s="1"/>
  <c r="E56" i="31" s="1"/>
  <c r="H4" i="31"/>
  <c r="I26" i="31" s="1"/>
  <c r="E55" i="31" s="1"/>
  <c r="H4" i="11"/>
  <c r="I40" i="11" s="1"/>
  <c r="U57" i="31"/>
  <c r="T57" i="31"/>
  <c r="M16" i="11"/>
  <c r="M16" i="31"/>
  <c r="I17" i="11"/>
  <c r="I17" i="31"/>
  <c r="I32" i="31"/>
  <c r="E61" i="31" s="1"/>
  <c r="M33" i="31"/>
  <c r="G62" i="31" s="1"/>
  <c r="H19" i="11"/>
  <c r="H19" i="31"/>
  <c r="L22" i="31"/>
  <c r="L22" i="11"/>
  <c r="I15" i="11"/>
  <c r="I15" i="31"/>
  <c r="H16" i="31"/>
  <c r="H16" i="11"/>
  <c r="I7" i="11"/>
  <c r="I7" i="31"/>
  <c r="G5" i="21"/>
  <c r="T50" i="31"/>
  <c r="L12" i="11"/>
  <c r="L12" i="31"/>
  <c r="I21" i="31"/>
  <c r="I21" i="11"/>
  <c r="H22" i="31"/>
  <c r="H22" i="11"/>
  <c r="M12" i="11"/>
  <c r="M12" i="31"/>
  <c r="I20" i="11"/>
  <c r="I20" i="31"/>
  <c r="M28" i="31"/>
  <c r="G57" i="31" s="1"/>
  <c r="M32" i="31"/>
  <c r="G61" i="31" s="1"/>
  <c r="T45" i="31"/>
  <c r="T46" i="31" s="1"/>
  <c r="C22" i="26"/>
  <c r="E7" i="22"/>
  <c r="F7" i="22" s="1"/>
  <c r="D24" i="10"/>
  <c r="B24" i="10"/>
  <c r="C26" i="26"/>
  <c r="D18" i="26"/>
  <c r="C21" i="26"/>
  <c r="C18" i="26"/>
  <c r="C25" i="26"/>
  <c r="C17" i="26"/>
  <c r="C20" i="26"/>
  <c r="D17" i="26"/>
  <c r="C24" i="26"/>
  <c r="B26" i="3"/>
  <c r="E32" i="32" l="1"/>
  <c r="C61" i="32" s="1"/>
  <c r="M41" i="11"/>
  <c r="I41" i="11"/>
  <c r="M40" i="11"/>
  <c r="M47" i="11"/>
  <c r="I48" i="11"/>
  <c r="I42" i="11"/>
  <c r="I46" i="11"/>
  <c r="M46" i="11"/>
  <c r="E33" i="32"/>
  <c r="C62" i="32" s="1"/>
  <c r="E27" i="32"/>
  <c r="C56" i="32" s="1"/>
  <c r="D3" i="32"/>
  <c r="E26" i="32"/>
  <c r="C55" i="32" s="1"/>
  <c r="E31" i="32"/>
  <c r="C60" i="32" s="1"/>
  <c r="T58" i="31"/>
  <c r="M31" i="31"/>
  <c r="G60" i="31" s="1"/>
  <c r="T54" i="31"/>
  <c r="U58" i="31"/>
  <c r="V58" i="31" s="1"/>
  <c r="V57" i="31" s="1"/>
  <c r="I31" i="31"/>
  <c r="E60" i="31" s="1"/>
  <c r="U46" i="31"/>
  <c r="V46" i="31" s="1"/>
  <c r="V45" i="31" s="1"/>
  <c r="N32" i="31" s="1"/>
  <c r="U45" i="31"/>
  <c r="I28" i="31"/>
  <c r="E57" i="31" s="1"/>
  <c r="I33" i="31"/>
  <c r="E62" i="31" s="1"/>
  <c r="M27" i="31"/>
  <c r="G56" i="31" s="1"/>
  <c r="C23" i="26"/>
  <c r="G24" i="3" l="1"/>
  <c r="H24" i="3"/>
  <c r="L24" i="3"/>
  <c r="O24" i="3"/>
  <c r="P24" i="3"/>
  <c r="T24" i="3"/>
  <c r="W24" i="3"/>
  <c r="X24" i="3"/>
  <c r="C27" i="3"/>
  <c r="D27" i="3"/>
  <c r="E27" i="3"/>
  <c r="F27" i="3"/>
  <c r="G27" i="3"/>
  <c r="H27" i="3"/>
  <c r="I27" i="3"/>
  <c r="J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C26" i="3"/>
  <c r="D26" i="3"/>
  <c r="E26" i="3"/>
  <c r="F26" i="3"/>
  <c r="F24" i="3" s="1"/>
  <c r="G26" i="3"/>
  <c r="H26" i="3"/>
  <c r="I26" i="3"/>
  <c r="J26" i="3"/>
  <c r="L26" i="3"/>
  <c r="M26" i="3"/>
  <c r="N26" i="3"/>
  <c r="N24" i="3" s="1"/>
  <c r="O26" i="3"/>
  <c r="P26" i="3"/>
  <c r="Q26" i="3"/>
  <c r="R26" i="3"/>
  <c r="S26" i="3"/>
  <c r="T26" i="3"/>
  <c r="U26" i="3"/>
  <c r="V26" i="3"/>
  <c r="W26" i="3"/>
  <c r="X26" i="3"/>
  <c r="Y26" i="3"/>
  <c r="C25" i="3"/>
  <c r="C24" i="3" s="1"/>
  <c r="E25" i="3"/>
  <c r="E24" i="3" s="1"/>
  <c r="F25" i="3"/>
  <c r="G25" i="3"/>
  <c r="H25" i="3"/>
  <c r="I25" i="3"/>
  <c r="J25" i="3"/>
  <c r="L25" i="3"/>
  <c r="M25" i="3"/>
  <c r="M24" i="3" s="1"/>
  <c r="N25" i="3"/>
  <c r="O25" i="3"/>
  <c r="P25" i="3"/>
  <c r="Q25" i="3"/>
  <c r="R25" i="3"/>
  <c r="S25" i="3"/>
  <c r="T25" i="3"/>
  <c r="U25" i="3"/>
  <c r="U24" i="3" s="1"/>
  <c r="V25" i="3"/>
  <c r="V24" i="3" s="1"/>
  <c r="W25" i="3"/>
  <c r="X25" i="3"/>
  <c r="Y25" i="3"/>
  <c r="B27" i="3"/>
  <c r="B24" i="3" s="1"/>
  <c r="B25" i="3"/>
  <c r="G8" i="3"/>
  <c r="D8" i="3"/>
  <c r="E5" i="5" l="1"/>
  <c r="E19" i="5"/>
  <c r="E20" i="5"/>
  <c r="E13" i="5"/>
  <c r="E21" i="5"/>
  <c r="E14" i="5"/>
  <c r="E6" i="5"/>
  <c r="E22" i="5"/>
  <c r="E18" i="5"/>
  <c r="E15" i="5"/>
  <c r="E7" i="5"/>
  <c r="E12" i="5"/>
  <c r="E3" i="5"/>
  <c r="E16" i="5"/>
  <c r="E9" i="5"/>
  <c r="E8" i="5"/>
  <c r="V21" i="5"/>
  <c r="V8" i="5"/>
  <c r="V22" i="5"/>
  <c r="V9" i="5"/>
  <c r="V5" i="5"/>
  <c r="V13" i="5"/>
  <c r="V14" i="5"/>
  <c r="V15" i="5"/>
  <c r="V18" i="5"/>
  <c r="V3" i="5"/>
  <c r="V20" i="5"/>
  <c r="V12" i="5"/>
  <c r="V6" i="5"/>
  <c r="V7" i="5"/>
  <c r="V19" i="5"/>
  <c r="M8" i="5"/>
  <c r="M9" i="5"/>
  <c r="M19" i="5"/>
  <c r="M5" i="5"/>
  <c r="M20" i="5"/>
  <c r="M21" i="5"/>
  <c r="M13" i="5"/>
  <c r="M22" i="5"/>
  <c r="M14" i="5"/>
  <c r="M6" i="5"/>
  <c r="M7" i="5"/>
  <c r="M15" i="5"/>
  <c r="M16" i="5"/>
  <c r="M12" i="5"/>
  <c r="M18" i="5"/>
  <c r="M3" i="5"/>
  <c r="F21" i="5"/>
  <c r="F14" i="5"/>
  <c r="F7" i="5"/>
  <c r="F22" i="5"/>
  <c r="F15" i="5"/>
  <c r="F8" i="5"/>
  <c r="F16" i="5"/>
  <c r="F5" i="5"/>
  <c r="F18" i="5"/>
  <c r="F12" i="5"/>
  <c r="F3" i="5"/>
  <c r="F13" i="5"/>
  <c r="F20" i="5"/>
  <c r="F9" i="5"/>
  <c r="F19" i="5"/>
  <c r="U16" i="5"/>
  <c r="U19" i="5"/>
  <c r="U6" i="5"/>
  <c r="U5" i="5"/>
  <c r="U20" i="5"/>
  <c r="U7" i="5"/>
  <c r="U21" i="5"/>
  <c r="U8" i="5"/>
  <c r="U22" i="5"/>
  <c r="U13" i="5"/>
  <c r="U9" i="5"/>
  <c r="U3" i="5"/>
  <c r="U18" i="5"/>
  <c r="U14" i="5"/>
  <c r="U15" i="5"/>
  <c r="U12" i="5"/>
  <c r="C12" i="5"/>
  <c r="C22" i="5"/>
  <c r="C6" i="5"/>
  <c r="C7" i="5"/>
  <c r="C13" i="5"/>
  <c r="C8" i="5"/>
  <c r="C21" i="5"/>
  <c r="C14" i="5"/>
  <c r="C9" i="5"/>
  <c r="C15" i="5"/>
  <c r="C3" i="5"/>
  <c r="C19" i="5"/>
  <c r="C16" i="5"/>
  <c r="C20" i="5"/>
  <c r="B21" i="5"/>
  <c r="B8" i="5"/>
  <c r="B19" i="5"/>
  <c r="B20" i="5"/>
  <c r="B9" i="5"/>
  <c r="B7" i="5"/>
  <c r="B18" i="5"/>
  <c r="B6" i="5"/>
  <c r="B12" i="5"/>
  <c r="B15" i="5"/>
  <c r="B3" i="5"/>
  <c r="B14" i="5"/>
  <c r="B13" i="5"/>
  <c r="B22" i="5"/>
  <c r="B11" i="5"/>
  <c r="N21" i="5"/>
  <c r="N13" i="5"/>
  <c r="N22" i="5"/>
  <c r="N14" i="5"/>
  <c r="N6" i="5"/>
  <c r="N15" i="5"/>
  <c r="N7" i="5"/>
  <c r="N16" i="5"/>
  <c r="N8" i="5"/>
  <c r="N9" i="5"/>
  <c r="N18" i="5"/>
  <c r="N5" i="5"/>
  <c r="N3" i="5"/>
  <c r="N19" i="5"/>
  <c r="N12" i="5"/>
  <c r="N20" i="5"/>
  <c r="R4" i="5"/>
  <c r="P17" i="5"/>
  <c r="X11" i="5"/>
  <c r="X10" i="5"/>
  <c r="P11" i="5"/>
  <c r="P10" i="5"/>
  <c r="H11" i="5"/>
  <c r="H10" i="5"/>
  <c r="W17" i="5"/>
  <c r="O17" i="5"/>
  <c r="G17" i="5"/>
  <c r="X17" i="5"/>
  <c r="O5" i="5"/>
  <c r="O19" i="5"/>
  <c r="O20" i="5"/>
  <c r="O21" i="5"/>
  <c r="O18" i="5"/>
  <c r="O13" i="5"/>
  <c r="O6" i="5"/>
  <c r="O22" i="5"/>
  <c r="O14" i="5"/>
  <c r="O12" i="5"/>
  <c r="O7" i="5"/>
  <c r="O15" i="5"/>
  <c r="O9" i="5"/>
  <c r="O16" i="5"/>
  <c r="O3" i="5"/>
  <c r="O8" i="5"/>
  <c r="X4" i="5"/>
  <c r="P4" i="5"/>
  <c r="H4" i="5"/>
  <c r="W10" i="5"/>
  <c r="W11" i="5"/>
  <c r="O10" i="5"/>
  <c r="O11" i="5"/>
  <c r="G11" i="5"/>
  <c r="G10" i="5"/>
  <c r="V17" i="5"/>
  <c r="N17" i="5"/>
  <c r="F17" i="5"/>
  <c r="P21" i="5"/>
  <c r="P13" i="5"/>
  <c r="P7" i="5"/>
  <c r="P22" i="5"/>
  <c r="P14" i="5"/>
  <c r="P8" i="5"/>
  <c r="P15" i="5"/>
  <c r="P9" i="5"/>
  <c r="P18" i="5"/>
  <c r="P16" i="5"/>
  <c r="P5" i="5"/>
  <c r="P12" i="5"/>
  <c r="P3" i="5"/>
  <c r="P19" i="5"/>
  <c r="P20" i="5"/>
  <c r="P6" i="5"/>
  <c r="W15" i="5"/>
  <c r="W5" i="5"/>
  <c r="W16" i="5"/>
  <c r="W19" i="5"/>
  <c r="W6" i="5"/>
  <c r="W20" i="5"/>
  <c r="W7" i="5"/>
  <c r="W21" i="5"/>
  <c r="W18" i="5"/>
  <c r="W8" i="5"/>
  <c r="W22" i="5"/>
  <c r="W12" i="5"/>
  <c r="W9" i="5"/>
  <c r="W13" i="5"/>
  <c r="W14" i="5"/>
  <c r="W3" i="5"/>
  <c r="G4" i="5"/>
  <c r="F10" i="5"/>
  <c r="F11" i="5"/>
  <c r="M17" i="5"/>
  <c r="T21" i="5"/>
  <c r="T12" i="5"/>
  <c r="T22" i="5"/>
  <c r="T13" i="5"/>
  <c r="T14" i="5"/>
  <c r="T15" i="5"/>
  <c r="T6" i="5"/>
  <c r="T16" i="5"/>
  <c r="T7" i="5"/>
  <c r="T8" i="5"/>
  <c r="T19" i="5"/>
  <c r="T9" i="5"/>
  <c r="T20" i="5"/>
  <c r="T5" i="5"/>
  <c r="T18" i="5"/>
  <c r="T3" i="5"/>
  <c r="V4" i="5"/>
  <c r="N4" i="5"/>
  <c r="F4" i="5"/>
  <c r="U11" i="5"/>
  <c r="U10" i="5"/>
  <c r="M10" i="5"/>
  <c r="M11" i="5"/>
  <c r="E10" i="5"/>
  <c r="E11" i="5"/>
  <c r="T17" i="5"/>
  <c r="L17" i="5"/>
  <c r="S24" i="3"/>
  <c r="C4" i="5"/>
  <c r="H21" i="5"/>
  <c r="H14" i="5"/>
  <c r="H8" i="5"/>
  <c r="H22" i="5"/>
  <c r="H15" i="5"/>
  <c r="H9" i="5"/>
  <c r="H16" i="5"/>
  <c r="H12" i="5"/>
  <c r="H6" i="5"/>
  <c r="H7" i="5"/>
  <c r="H3" i="5"/>
  <c r="H5" i="5"/>
  <c r="H19" i="5"/>
  <c r="H13" i="5"/>
  <c r="H20" i="5"/>
  <c r="H17" i="5"/>
  <c r="O4" i="5"/>
  <c r="N10" i="5"/>
  <c r="N11" i="5"/>
  <c r="U17" i="5"/>
  <c r="G9" i="5"/>
  <c r="U4" i="5"/>
  <c r="M4" i="5"/>
  <c r="E4" i="5"/>
  <c r="T10" i="5"/>
  <c r="T11" i="5"/>
  <c r="L10" i="5"/>
  <c r="L11" i="5"/>
  <c r="C17" i="5"/>
  <c r="R24" i="3"/>
  <c r="J24" i="3"/>
  <c r="B17" i="5"/>
  <c r="B28" i="3"/>
  <c r="B10" i="5"/>
  <c r="X21" i="5"/>
  <c r="X8" i="5"/>
  <c r="X22" i="5"/>
  <c r="X9" i="5"/>
  <c r="X13" i="5"/>
  <c r="X18" i="5"/>
  <c r="X14" i="5"/>
  <c r="X15" i="5"/>
  <c r="X12" i="5"/>
  <c r="X16" i="5"/>
  <c r="X6" i="5"/>
  <c r="X3" i="5"/>
  <c r="X7" i="5"/>
  <c r="X19" i="5"/>
  <c r="X20" i="5"/>
  <c r="X5" i="5"/>
  <c r="Q11" i="5"/>
  <c r="G19" i="5"/>
  <c r="G20" i="5"/>
  <c r="G18" i="5"/>
  <c r="G13" i="5"/>
  <c r="G6" i="5"/>
  <c r="G21" i="5"/>
  <c r="G14" i="5"/>
  <c r="G7" i="5"/>
  <c r="G22" i="5"/>
  <c r="G15" i="5"/>
  <c r="G12" i="5"/>
  <c r="G8" i="5"/>
  <c r="G16" i="5"/>
  <c r="G3" i="5"/>
  <c r="G5" i="5"/>
  <c r="W4" i="5"/>
  <c r="V10" i="5"/>
  <c r="V11" i="5"/>
  <c r="E17" i="5"/>
  <c r="L21" i="5"/>
  <c r="L13" i="5"/>
  <c r="L12" i="5"/>
  <c r="L22" i="5"/>
  <c r="L14" i="5"/>
  <c r="L15" i="5"/>
  <c r="L16" i="5"/>
  <c r="L6" i="5"/>
  <c r="L7" i="5"/>
  <c r="L8" i="5"/>
  <c r="L19" i="5"/>
  <c r="L20" i="5"/>
  <c r="L9" i="5"/>
  <c r="L5" i="5"/>
  <c r="L18" i="5"/>
  <c r="L3" i="5"/>
  <c r="B4" i="5"/>
  <c r="T4" i="5"/>
  <c r="L4" i="5"/>
  <c r="D25" i="3"/>
  <c r="S10" i="5"/>
  <c r="C10" i="5"/>
  <c r="C11" i="5"/>
  <c r="Y24" i="3"/>
  <c r="Q24" i="3"/>
  <c r="I24" i="3"/>
  <c r="I11" i="5" s="1"/>
  <c r="L20" i="4"/>
  <c r="K20" i="4"/>
  <c r="J20" i="4"/>
  <c r="N13" i="4"/>
  <c r="N11" i="4"/>
  <c r="O21" i="4"/>
  <c r="U18" i="4"/>
  <c r="U27" i="4" s="1"/>
  <c r="U14" i="4"/>
  <c r="U11" i="4"/>
  <c r="S14" i="4"/>
  <c r="S11" i="4"/>
  <c r="R14" i="4"/>
  <c r="R11" i="4"/>
  <c r="Y13" i="4"/>
  <c r="Y11" i="4"/>
  <c r="K8" i="3"/>
  <c r="K21" i="3"/>
  <c r="K18" i="3"/>
  <c r="K14" i="3"/>
  <c r="K11" i="3"/>
  <c r="U20" i="1"/>
  <c r="U6" i="1"/>
  <c r="U4" i="1"/>
  <c r="R11" i="1"/>
  <c r="B7" i="1"/>
  <c r="J7" i="1"/>
  <c r="F12" i="1"/>
  <c r="D12" i="1"/>
  <c r="I12" i="1"/>
  <c r="L20" i="1"/>
  <c r="K12" i="1"/>
  <c r="C12" i="1"/>
  <c r="G12" i="1"/>
  <c r="H12" i="1"/>
  <c r="B12" i="1"/>
  <c r="H18" i="6" l="1"/>
  <c r="L19" i="6"/>
  <c r="M17" i="6"/>
  <c r="I17" i="5"/>
  <c r="I13" i="6"/>
  <c r="H13" i="6"/>
  <c r="M7" i="6"/>
  <c r="L7" i="6"/>
  <c r="K27" i="3"/>
  <c r="B25" i="1"/>
  <c r="J21" i="5"/>
  <c r="J14" i="5"/>
  <c r="J5" i="5"/>
  <c r="J22" i="5"/>
  <c r="J18" i="5"/>
  <c r="J15" i="5"/>
  <c r="J16" i="5"/>
  <c r="J12" i="5"/>
  <c r="J6" i="5"/>
  <c r="J7" i="5"/>
  <c r="J19" i="5"/>
  <c r="J20" i="5"/>
  <c r="J3" i="5"/>
  <c r="J13" i="5"/>
  <c r="J8" i="5"/>
  <c r="J9" i="5"/>
  <c r="S18" i="5"/>
  <c r="S16" i="5"/>
  <c r="S6" i="5"/>
  <c r="S12" i="5"/>
  <c r="S7" i="5"/>
  <c r="S19" i="5"/>
  <c r="S8" i="5"/>
  <c r="S20" i="5"/>
  <c r="S9" i="5"/>
  <c r="S21" i="5"/>
  <c r="S5" i="5"/>
  <c r="S22" i="5"/>
  <c r="S13" i="5"/>
  <c r="S14" i="5"/>
  <c r="S15" i="5"/>
  <c r="S3" i="5"/>
  <c r="K25" i="3"/>
  <c r="S11" i="5"/>
  <c r="U25" i="1"/>
  <c r="Q19" i="5"/>
  <c r="I19" i="6" s="1"/>
  <c r="Q18" i="5"/>
  <c r="I18" i="6" s="1"/>
  <c r="Q6" i="5"/>
  <c r="Q20" i="5"/>
  <c r="H20" i="6" s="1"/>
  <c r="Q12" i="5"/>
  <c r="I12" i="6" s="1"/>
  <c r="Q7" i="5"/>
  <c r="Q21" i="5"/>
  <c r="Q13" i="5"/>
  <c r="Q8" i="5"/>
  <c r="I8" i="6" s="1"/>
  <c r="Q22" i="5"/>
  <c r="Q14" i="5"/>
  <c r="I14" i="6" s="1"/>
  <c r="Q9" i="5"/>
  <c r="H9" i="6" s="1"/>
  <c r="Q16" i="5"/>
  <c r="I16" i="6" s="1"/>
  <c r="Q3" i="5"/>
  <c r="Q5" i="5"/>
  <c r="Q15" i="5"/>
  <c r="Q10" i="5"/>
  <c r="I10" i="6" s="1"/>
  <c r="Q4" i="5"/>
  <c r="I4" i="6" s="1"/>
  <c r="I4" i="5"/>
  <c r="E4" i="6" s="1"/>
  <c r="S4" i="5"/>
  <c r="I21" i="6"/>
  <c r="H21" i="6"/>
  <c r="M5" i="6"/>
  <c r="J25" i="1"/>
  <c r="E11" i="6"/>
  <c r="D11" i="6"/>
  <c r="D17" i="6"/>
  <c r="E17" i="6"/>
  <c r="K4" i="6"/>
  <c r="J4" i="6"/>
  <c r="E5" i="6"/>
  <c r="D5" i="6"/>
  <c r="R26" i="1"/>
  <c r="R21" i="5"/>
  <c r="R9" i="5"/>
  <c r="R22" i="5"/>
  <c r="R18" i="5"/>
  <c r="R13" i="5"/>
  <c r="R5" i="5"/>
  <c r="R14" i="5"/>
  <c r="R12" i="5"/>
  <c r="R15" i="5"/>
  <c r="R6" i="5"/>
  <c r="R7" i="5"/>
  <c r="R19" i="5"/>
  <c r="R20" i="5"/>
  <c r="R8" i="5"/>
  <c r="R3" i="5"/>
  <c r="K26" i="1"/>
  <c r="Y26" i="4"/>
  <c r="D24" i="3"/>
  <c r="D4" i="5" s="1"/>
  <c r="O27" i="4"/>
  <c r="R10" i="5"/>
  <c r="H4" i="6"/>
  <c r="D15" i="6"/>
  <c r="E15" i="6"/>
  <c r="M12" i="6"/>
  <c r="L9" i="6"/>
  <c r="I5" i="6"/>
  <c r="H5" i="6"/>
  <c r="G26" i="1"/>
  <c r="L27" i="4"/>
  <c r="H10" i="6"/>
  <c r="I6" i="5"/>
  <c r="E6" i="6" s="1"/>
  <c r="I19" i="5"/>
  <c r="E19" i="6" s="1"/>
  <c r="I18" i="5"/>
  <c r="E18" i="6" s="1"/>
  <c r="I20" i="5"/>
  <c r="E20" i="6" s="1"/>
  <c r="I13" i="5"/>
  <c r="I12" i="5"/>
  <c r="D12" i="6" s="1"/>
  <c r="I8" i="5"/>
  <c r="D8" i="6" s="1"/>
  <c r="I21" i="5"/>
  <c r="E21" i="6" s="1"/>
  <c r="I14" i="5"/>
  <c r="E14" i="6" s="1"/>
  <c r="I9" i="5"/>
  <c r="E9" i="6" s="1"/>
  <c r="I22" i="5"/>
  <c r="I15" i="5"/>
  <c r="I5" i="5"/>
  <c r="I7" i="5"/>
  <c r="D7" i="6" s="1"/>
  <c r="I3" i="5"/>
  <c r="I16" i="5"/>
  <c r="D16" i="6" s="1"/>
  <c r="L27" i="1"/>
  <c r="Y14" i="5"/>
  <c r="Y15" i="5"/>
  <c r="M15" i="6" s="1"/>
  <c r="Y19" i="5"/>
  <c r="M19" i="6" s="1"/>
  <c r="Y18" i="5"/>
  <c r="L18" i="6" s="1"/>
  <c r="Y6" i="5"/>
  <c r="M6" i="6" s="1"/>
  <c r="Y20" i="5"/>
  <c r="L20" i="6" s="1"/>
  <c r="Y12" i="5"/>
  <c r="L12" i="6" s="1"/>
  <c r="Y7" i="5"/>
  <c r="Y21" i="5"/>
  <c r="Y8" i="5"/>
  <c r="M8" i="6" s="1"/>
  <c r="Y22" i="5"/>
  <c r="M22" i="6" s="1"/>
  <c r="Y9" i="5"/>
  <c r="M9" i="6" s="1"/>
  <c r="Y3" i="5"/>
  <c r="L3" i="6" s="1"/>
  <c r="Y13" i="5"/>
  <c r="L13" i="6" s="1"/>
  <c r="Y5" i="5"/>
  <c r="L5" i="6" s="1"/>
  <c r="S17" i="5"/>
  <c r="I26" i="1"/>
  <c r="U27" i="1"/>
  <c r="R26" i="4"/>
  <c r="N26" i="4"/>
  <c r="J17" i="5"/>
  <c r="R11" i="5"/>
  <c r="Y11" i="5"/>
  <c r="M11" i="6" s="1"/>
  <c r="L4" i="6"/>
  <c r="I10" i="5"/>
  <c r="E10" i="6" s="1"/>
  <c r="Y17" i="5"/>
  <c r="L17" i="6" s="1"/>
  <c r="I7" i="6"/>
  <c r="H7" i="6"/>
  <c r="E13" i="6"/>
  <c r="D13" i="6"/>
  <c r="E22" i="6"/>
  <c r="D22" i="6"/>
  <c r="M20" i="6"/>
  <c r="L22" i="6"/>
  <c r="K27" i="4"/>
  <c r="I22" i="6"/>
  <c r="H22" i="6"/>
  <c r="M14" i="6"/>
  <c r="L14" i="6"/>
  <c r="R17" i="5"/>
  <c r="Y10" i="5"/>
  <c r="M10" i="6" s="1"/>
  <c r="J10" i="5"/>
  <c r="J4" i="5"/>
  <c r="H19" i="6"/>
  <c r="I15" i="6"/>
  <c r="H15" i="6"/>
  <c r="E3" i="6"/>
  <c r="D3" i="6"/>
  <c r="E7" i="6"/>
  <c r="M3" i="6"/>
  <c r="H26" i="1"/>
  <c r="H11" i="6"/>
  <c r="I11" i="6"/>
  <c r="U26" i="4"/>
  <c r="L16" i="6"/>
  <c r="M16" i="6"/>
  <c r="C26" i="1"/>
  <c r="D26" i="1"/>
  <c r="K26" i="3"/>
  <c r="B26" i="1"/>
  <c r="F26" i="1"/>
  <c r="S26" i="4"/>
  <c r="J27" i="4"/>
  <c r="J11" i="5"/>
  <c r="Q17" i="5"/>
  <c r="I17" i="6" s="1"/>
  <c r="Y4" i="5"/>
  <c r="M4" i="6" s="1"/>
  <c r="I3" i="6"/>
  <c r="H3" i="6"/>
  <c r="I6" i="6"/>
  <c r="H6" i="6"/>
  <c r="E12" i="6"/>
  <c r="D14" i="6"/>
  <c r="M18" i="6"/>
  <c r="L21" i="6"/>
  <c r="M21" i="6"/>
  <c r="E7" i="20" l="1"/>
  <c r="F7" i="20" s="1"/>
  <c r="C4" i="6"/>
  <c r="B4" i="6"/>
  <c r="J16" i="6"/>
  <c r="K16" i="6"/>
  <c r="L11" i="6"/>
  <c r="K12" i="6"/>
  <c r="J12" i="6"/>
  <c r="D4" i="6"/>
  <c r="B10" i="7"/>
  <c r="K11" i="6"/>
  <c r="J11" i="6"/>
  <c r="L24" i="4"/>
  <c r="L17" i="9" s="1"/>
  <c r="D20" i="6"/>
  <c r="H16" i="6"/>
  <c r="O17" i="9"/>
  <c r="O24" i="4"/>
  <c r="K3" i="6"/>
  <c r="J3" i="6"/>
  <c r="K14" i="6"/>
  <c r="J14" i="6"/>
  <c r="R24" i="1"/>
  <c r="R10" i="7" s="1"/>
  <c r="R11" i="7"/>
  <c r="H17" i="6"/>
  <c r="L10" i="6"/>
  <c r="H14" i="6"/>
  <c r="E16" i="6"/>
  <c r="C11" i="7"/>
  <c r="C24" i="1"/>
  <c r="K21" i="6"/>
  <c r="J21" i="6"/>
  <c r="K24" i="1"/>
  <c r="J24" i="4"/>
  <c r="J10" i="9"/>
  <c r="J17" i="9"/>
  <c r="K11" i="5"/>
  <c r="G11" i="6" s="1"/>
  <c r="K10" i="5"/>
  <c r="H11" i="7"/>
  <c r="H24" i="1"/>
  <c r="H10" i="7"/>
  <c r="H12" i="6"/>
  <c r="D6" i="6"/>
  <c r="J8" i="6"/>
  <c r="K8" i="6"/>
  <c r="K5" i="6"/>
  <c r="J5" i="6"/>
  <c r="L6" i="6"/>
  <c r="G16" i="6"/>
  <c r="F16" i="6"/>
  <c r="L24" i="1"/>
  <c r="L10" i="7" s="1"/>
  <c r="D9" i="6"/>
  <c r="K4" i="5"/>
  <c r="K24" i="3"/>
  <c r="F3" i="20"/>
  <c r="F11" i="6"/>
  <c r="E5" i="20"/>
  <c r="F5" i="20" s="1"/>
  <c r="J17" i="6"/>
  <c r="K17" i="6"/>
  <c r="G24" i="1"/>
  <c r="G10" i="7" s="1"/>
  <c r="K20" i="6"/>
  <c r="J20" i="6"/>
  <c r="B24" i="1"/>
  <c r="B4" i="7" s="1"/>
  <c r="K17" i="5"/>
  <c r="G17" i="6" s="1"/>
  <c r="D19" i="6"/>
  <c r="I9" i="6"/>
  <c r="S24" i="4"/>
  <c r="S10" i="9" s="1"/>
  <c r="D11" i="7"/>
  <c r="D24" i="1"/>
  <c r="L15" i="6"/>
  <c r="L8" i="6"/>
  <c r="F4" i="6"/>
  <c r="G4" i="6"/>
  <c r="D10" i="6"/>
  <c r="I20" i="6"/>
  <c r="K19" i="6"/>
  <c r="J19" i="6"/>
  <c r="K18" i="6"/>
  <c r="J18" i="6"/>
  <c r="E8" i="6"/>
  <c r="H8" i="6"/>
  <c r="K10" i="6"/>
  <c r="J10" i="6"/>
  <c r="I24" i="1"/>
  <c r="I11" i="7" s="1"/>
  <c r="D21" i="5"/>
  <c r="D14" i="5"/>
  <c r="D12" i="5"/>
  <c r="D22" i="5"/>
  <c r="D15" i="5"/>
  <c r="D6" i="5"/>
  <c r="D16" i="5"/>
  <c r="D8" i="5"/>
  <c r="D5" i="5"/>
  <c r="D19" i="5"/>
  <c r="D7" i="5"/>
  <c r="D20" i="5"/>
  <c r="D13" i="5"/>
  <c r="D3" i="5"/>
  <c r="D18" i="5"/>
  <c r="D9" i="5"/>
  <c r="D11" i="5"/>
  <c r="D10" i="5"/>
  <c r="D17" i="5"/>
  <c r="J7" i="6"/>
  <c r="K7" i="6"/>
  <c r="K22" i="6"/>
  <c r="J22" i="6"/>
  <c r="U24" i="1"/>
  <c r="U4" i="7" s="1"/>
  <c r="D18" i="6"/>
  <c r="M13" i="6"/>
  <c r="D21" i="6"/>
  <c r="J15" i="6"/>
  <c r="K15" i="6"/>
  <c r="R10" i="9"/>
  <c r="R11" i="9"/>
  <c r="R24" i="4"/>
  <c r="U24" i="4"/>
  <c r="U10" i="9" s="1"/>
  <c r="U11" i="9"/>
  <c r="K24" i="4"/>
  <c r="K10" i="9" s="1"/>
  <c r="K13" i="6"/>
  <c r="J13" i="6"/>
  <c r="G10" i="6"/>
  <c r="F10" i="6"/>
  <c r="F11" i="7"/>
  <c r="F24" i="1"/>
  <c r="F10" i="7"/>
  <c r="N24" i="4"/>
  <c r="N11" i="9"/>
  <c r="N10" i="9"/>
  <c r="Y24" i="4"/>
  <c r="Y11" i="9" s="1"/>
  <c r="Y10" i="9"/>
  <c r="K6" i="6"/>
  <c r="J6" i="6"/>
  <c r="J9" i="6"/>
  <c r="K9" i="6"/>
  <c r="J24" i="1"/>
  <c r="J4" i="7"/>
  <c r="G5" i="6"/>
  <c r="F5" i="6"/>
  <c r="L11" i="10" l="1"/>
  <c r="M11" i="10"/>
  <c r="B8" i="6"/>
  <c r="C8" i="6"/>
  <c r="N17" i="9"/>
  <c r="N3" i="9"/>
  <c r="N20" i="9"/>
  <c r="N22" i="9"/>
  <c r="N19" i="9"/>
  <c r="N21" i="9"/>
  <c r="N18" i="9"/>
  <c r="N13" i="9"/>
  <c r="N7" i="9"/>
  <c r="N15" i="9"/>
  <c r="N4" i="9"/>
  <c r="N6" i="9"/>
  <c r="N5" i="9"/>
  <c r="N9" i="9"/>
  <c r="N8" i="9"/>
  <c r="N16" i="9"/>
  <c r="N12" i="9"/>
  <c r="N14" i="9"/>
  <c r="R7" i="9"/>
  <c r="R8" i="9"/>
  <c r="R22" i="9"/>
  <c r="R9" i="9"/>
  <c r="R4" i="9"/>
  <c r="R17" i="9"/>
  <c r="R18" i="9"/>
  <c r="R20" i="9"/>
  <c r="R6" i="9"/>
  <c r="R3" i="9"/>
  <c r="R19" i="9"/>
  <c r="R16" i="9"/>
  <c r="R13" i="9"/>
  <c r="R14" i="9"/>
  <c r="R21" i="9"/>
  <c r="R5" i="9"/>
  <c r="R15" i="9"/>
  <c r="R12" i="9"/>
  <c r="C18" i="6"/>
  <c r="B18" i="6"/>
  <c r="B16" i="6"/>
  <c r="C16" i="6"/>
  <c r="L17" i="7"/>
  <c r="O3" i="9"/>
  <c r="O20" i="9"/>
  <c r="O15" i="9"/>
  <c r="O5" i="9"/>
  <c r="O18" i="9"/>
  <c r="O13" i="9"/>
  <c r="O8" i="9"/>
  <c r="O22" i="9"/>
  <c r="O11" i="9"/>
  <c r="O6" i="9"/>
  <c r="O12" i="9"/>
  <c r="O16" i="9"/>
  <c r="O19" i="9"/>
  <c r="O14" i="9"/>
  <c r="O9" i="9"/>
  <c r="O4" i="9"/>
  <c r="O7" i="9"/>
  <c r="O21" i="9"/>
  <c r="H11" i="10"/>
  <c r="I11" i="10"/>
  <c r="B6" i="6"/>
  <c r="C6" i="6"/>
  <c r="K10" i="10"/>
  <c r="J10" i="10"/>
  <c r="B13" i="6"/>
  <c r="C13" i="6"/>
  <c r="B15" i="6"/>
  <c r="C15" i="6"/>
  <c r="D21" i="7"/>
  <c r="D15" i="7"/>
  <c r="D7" i="7"/>
  <c r="D5" i="7"/>
  <c r="D3" i="7"/>
  <c r="D19" i="7"/>
  <c r="D22" i="7"/>
  <c r="D8" i="7"/>
  <c r="D9" i="7"/>
  <c r="D16" i="7"/>
  <c r="D6" i="7"/>
  <c r="D4" i="7"/>
  <c r="D18" i="7"/>
  <c r="D20" i="7"/>
  <c r="D14" i="7"/>
  <c r="D12" i="7"/>
  <c r="D17" i="7"/>
  <c r="D13" i="7"/>
  <c r="G17" i="10"/>
  <c r="G17" i="13" s="1"/>
  <c r="G17" i="32" s="1"/>
  <c r="C12" i="7"/>
  <c r="C21" i="7"/>
  <c r="C15" i="7"/>
  <c r="C7" i="7"/>
  <c r="C5" i="7"/>
  <c r="C18" i="7"/>
  <c r="C3" i="7"/>
  <c r="C19" i="7"/>
  <c r="C22" i="7"/>
  <c r="C8" i="7"/>
  <c r="C14" i="7"/>
  <c r="C16" i="7"/>
  <c r="C6" i="7"/>
  <c r="C20" i="7"/>
  <c r="C9" i="7"/>
  <c r="C17" i="7"/>
  <c r="C4" i="7"/>
  <c r="C4" i="8" s="1"/>
  <c r="C13" i="7"/>
  <c r="O10" i="9"/>
  <c r="K5" i="9"/>
  <c r="K8" i="9"/>
  <c r="K16" i="9"/>
  <c r="K7" i="9"/>
  <c r="K12" i="9"/>
  <c r="K6" i="9"/>
  <c r="K19" i="9"/>
  <c r="K18" i="9"/>
  <c r="K11" i="9"/>
  <c r="K22" i="9"/>
  <c r="K14" i="9"/>
  <c r="K21" i="9"/>
  <c r="K15" i="9"/>
  <c r="K13" i="9"/>
  <c r="K9" i="9"/>
  <c r="K3" i="9"/>
  <c r="K4" i="9"/>
  <c r="K20" i="9"/>
  <c r="G8" i="7"/>
  <c r="G16" i="7"/>
  <c r="G22" i="7"/>
  <c r="G4" i="7"/>
  <c r="G20" i="7"/>
  <c r="G14" i="7"/>
  <c r="G6" i="7"/>
  <c r="G18" i="7"/>
  <c r="G9" i="7"/>
  <c r="G12" i="7"/>
  <c r="G3" i="7"/>
  <c r="G21" i="7"/>
  <c r="G15" i="7"/>
  <c r="G7" i="7"/>
  <c r="G5" i="7"/>
  <c r="G19" i="7"/>
  <c r="G17" i="7"/>
  <c r="G13" i="7"/>
  <c r="E4" i="20"/>
  <c r="F4" i="20" s="1"/>
  <c r="B20" i="6"/>
  <c r="C20" i="6"/>
  <c r="B22" i="6"/>
  <c r="C22" i="6"/>
  <c r="G11" i="7"/>
  <c r="E11" i="8" s="1"/>
  <c r="K16" i="7"/>
  <c r="K18" i="7"/>
  <c r="K12" i="7"/>
  <c r="K21" i="7"/>
  <c r="K15" i="7"/>
  <c r="K7" i="7"/>
  <c r="K3" i="7"/>
  <c r="K20" i="7"/>
  <c r="K19" i="7"/>
  <c r="K5" i="7"/>
  <c r="K8" i="7"/>
  <c r="K6" i="7"/>
  <c r="K22" i="7"/>
  <c r="K14" i="7"/>
  <c r="K9" i="7"/>
  <c r="K4" i="7"/>
  <c r="K17" i="7"/>
  <c r="K13" i="7"/>
  <c r="R8" i="7"/>
  <c r="R20" i="7"/>
  <c r="R4" i="7"/>
  <c r="R6" i="7"/>
  <c r="R9" i="7"/>
  <c r="R7" i="7"/>
  <c r="R19" i="7"/>
  <c r="R22" i="7"/>
  <c r="R14" i="7"/>
  <c r="R18" i="7"/>
  <c r="R15" i="7"/>
  <c r="R5" i="7"/>
  <c r="R16" i="7"/>
  <c r="R3" i="7"/>
  <c r="R21" i="7"/>
  <c r="R17" i="7"/>
  <c r="R13" i="7"/>
  <c r="R12" i="7"/>
  <c r="K11" i="10"/>
  <c r="J11" i="10"/>
  <c r="B3" i="6"/>
  <c r="C3" i="6"/>
  <c r="M10" i="10"/>
  <c r="L10" i="10"/>
  <c r="J9" i="7"/>
  <c r="J12" i="7"/>
  <c r="J18" i="7"/>
  <c r="J21" i="7"/>
  <c r="J15" i="7"/>
  <c r="J7" i="7"/>
  <c r="J5" i="7"/>
  <c r="J3" i="7"/>
  <c r="J19" i="7"/>
  <c r="J13" i="7"/>
  <c r="J16" i="7"/>
  <c r="J11" i="7"/>
  <c r="J14" i="7"/>
  <c r="J20" i="7"/>
  <c r="J22" i="7"/>
  <c r="J6" i="7"/>
  <c r="J17" i="7"/>
  <c r="J10" i="7"/>
  <c r="J8" i="7"/>
  <c r="F22" i="7"/>
  <c r="F6" i="7"/>
  <c r="F19" i="7"/>
  <c r="F8" i="7"/>
  <c r="F16" i="7"/>
  <c r="F7" i="7"/>
  <c r="F20" i="7"/>
  <c r="F14" i="7"/>
  <c r="F18" i="7"/>
  <c r="F9" i="7"/>
  <c r="F15" i="7"/>
  <c r="F12" i="7"/>
  <c r="F21" i="7"/>
  <c r="F5" i="7"/>
  <c r="F3" i="7"/>
  <c r="F4" i="7"/>
  <c r="F17" i="7"/>
  <c r="F13" i="7"/>
  <c r="C17" i="6"/>
  <c r="B17" i="6"/>
  <c r="B7" i="6"/>
  <c r="C7" i="6"/>
  <c r="B12" i="6"/>
  <c r="C12" i="6"/>
  <c r="F17" i="6"/>
  <c r="D10" i="7"/>
  <c r="K6" i="5"/>
  <c r="K7" i="5"/>
  <c r="K19" i="5"/>
  <c r="K20" i="5"/>
  <c r="K13" i="5"/>
  <c r="K22" i="5"/>
  <c r="K14" i="5"/>
  <c r="K8" i="5"/>
  <c r="K3" i="5"/>
  <c r="K15" i="5"/>
  <c r="K21" i="5"/>
  <c r="K18" i="5"/>
  <c r="K12" i="5"/>
  <c r="K9" i="5"/>
  <c r="J19" i="9"/>
  <c r="J16" i="9"/>
  <c r="J13" i="9"/>
  <c r="J8" i="9"/>
  <c r="J6" i="9"/>
  <c r="J11" i="9"/>
  <c r="J14" i="9"/>
  <c r="J22" i="9"/>
  <c r="J21" i="9"/>
  <c r="J5" i="9"/>
  <c r="J3" i="9"/>
  <c r="J18" i="9"/>
  <c r="J7" i="9"/>
  <c r="J4" i="9"/>
  <c r="J15" i="9"/>
  <c r="J12" i="9"/>
  <c r="J9" i="9"/>
  <c r="J20" i="9"/>
  <c r="K11" i="7"/>
  <c r="C10" i="7"/>
  <c r="B10" i="8" s="1"/>
  <c r="I22" i="7"/>
  <c r="I20" i="7"/>
  <c r="I14" i="7"/>
  <c r="I6" i="7"/>
  <c r="I9" i="7"/>
  <c r="I18" i="7"/>
  <c r="I12" i="7"/>
  <c r="I3" i="7"/>
  <c r="I21" i="7"/>
  <c r="I15" i="7"/>
  <c r="I7" i="7"/>
  <c r="I5" i="7"/>
  <c r="I19" i="7"/>
  <c r="I8" i="7"/>
  <c r="I4" i="7"/>
  <c r="I16" i="7"/>
  <c r="I17" i="7"/>
  <c r="I13" i="7"/>
  <c r="L21" i="7"/>
  <c r="L15" i="7"/>
  <c r="L7" i="7"/>
  <c r="L5" i="7"/>
  <c r="L3" i="7"/>
  <c r="L19" i="7"/>
  <c r="L13" i="7"/>
  <c r="L8" i="7"/>
  <c r="L9" i="7"/>
  <c r="L22" i="7"/>
  <c r="L16" i="7"/>
  <c r="L14" i="7"/>
  <c r="L6" i="7"/>
  <c r="L18" i="7"/>
  <c r="L12" i="7"/>
  <c r="L4" i="7"/>
  <c r="G4" i="8" s="1"/>
  <c r="L11" i="7"/>
  <c r="L20" i="7"/>
  <c r="Y9" i="9"/>
  <c r="Y21" i="9"/>
  <c r="Y16" i="9"/>
  <c r="Y6" i="9"/>
  <c r="Y19" i="9"/>
  <c r="Y15" i="9"/>
  <c r="Y18" i="9"/>
  <c r="Y22" i="9"/>
  <c r="Y4" i="9"/>
  <c r="Y17" i="9"/>
  <c r="Y13" i="9"/>
  <c r="Y7" i="9"/>
  <c r="Y8" i="9"/>
  <c r="Y3" i="9"/>
  <c r="Y20" i="9"/>
  <c r="Y5" i="9"/>
  <c r="Y12" i="9"/>
  <c r="Y14" i="9"/>
  <c r="U18" i="9"/>
  <c r="U6" i="9"/>
  <c r="U5" i="9"/>
  <c r="U8" i="9"/>
  <c r="U13" i="9"/>
  <c r="U7" i="9"/>
  <c r="U3" i="9"/>
  <c r="U9" i="9"/>
  <c r="U14" i="9"/>
  <c r="U21" i="9"/>
  <c r="U16" i="9"/>
  <c r="U4" i="9"/>
  <c r="U20" i="9"/>
  <c r="U22" i="9"/>
  <c r="U19" i="9"/>
  <c r="U12" i="9"/>
  <c r="U15" i="9"/>
  <c r="U17" i="9"/>
  <c r="U22" i="7"/>
  <c r="U18" i="7"/>
  <c r="U12" i="7"/>
  <c r="U21" i="7"/>
  <c r="U15" i="7"/>
  <c r="U3" i="7"/>
  <c r="U19" i="7"/>
  <c r="U13" i="7"/>
  <c r="U14" i="7"/>
  <c r="U8" i="7"/>
  <c r="U16" i="7"/>
  <c r="U6" i="7"/>
  <c r="U9" i="7"/>
  <c r="U11" i="7"/>
  <c r="J11" i="8" s="1"/>
  <c r="U5" i="7"/>
  <c r="U7" i="7"/>
  <c r="U20" i="7"/>
  <c r="C10" i="6"/>
  <c r="B10" i="6"/>
  <c r="B19" i="6"/>
  <c r="C19" i="6"/>
  <c r="B14" i="6"/>
  <c r="C14" i="6"/>
  <c r="U10" i="7"/>
  <c r="J10" i="8" s="1"/>
  <c r="K10" i="7"/>
  <c r="L3" i="9"/>
  <c r="L22" i="9"/>
  <c r="L9" i="9"/>
  <c r="L21" i="9"/>
  <c r="L16" i="9"/>
  <c r="L5" i="9"/>
  <c r="L6" i="9"/>
  <c r="L19" i="9"/>
  <c r="L15" i="9"/>
  <c r="L12" i="9"/>
  <c r="L14" i="9"/>
  <c r="L8" i="9"/>
  <c r="L18" i="9"/>
  <c r="L11" i="9"/>
  <c r="L13" i="9"/>
  <c r="L4" i="9"/>
  <c r="L7" i="9"/>
  <c r="L20" i="9"/>
  <c r="B9" i="6"/>
  <c r="C9" i="6"/>
  <c r="S16" i="9"/>
  <c r="S3" i="9"/>
  <c r="S18" i="9"/>
  <c r="S21" i="9"/>
  <c r="S9" i="9"/>
  <c r="S22" i="9"/>
  <c r="S8" i="9"/>
  <c r="S5" i="9"/>
  <c r="S6" i="9"/>
  <c r="S7" i="9"/>
  <c r="S19" i="9"/>
  <c r="S13" i="9"/>
  <c r="S20" i="9"/>
  <c r="S14" i="9"/>
  <c r="S4" i="9"/>
  <c r="S17" i="9"/>
  <c r="S12" i="9"/>
  <c r="S15" i="9"/>
  <c r="I10" i="7"/>
  <c r="D10" i="8" s="1"/>
  <c r="B9" i="7"/>
  <c r="B12" i="7"/>
  <c r="B21" i="7"/>
  <c r="B15" i="7"/>
  <c r="B7" i="7"/>
  <c r="B3" i="7"/>
  <c r="B6" i="7"/>
  <c r="B19" i="7"/>
  <c r="B5" i="7"/>
  <c r="B22" i="7"/>
  <c r="B18" i="7"/>
  <c r="B14" i="7"/>
  <c r="B20" i="7"/>
  <c r="B17" i="7"/>
  <c r="B8" i="7"/>
  <c r="B13" i="7"/>
  <c r="H10" i="10"/>
  <c r="I10" i="10"/>
  <c r="K17" i="9"/>
  <c r="F17" i="10" s="1"/>
  <c r="F17" i="13" s="1"/>
  <c r="C11" i="6"/>
  <c r="B11" i="6"/>
  <c r="C5" i="6"/>
  <c r="B5" i="6"/>
  <c r="C21" i="6"/>
  <c r="B21" i="6"/>
  <c r="S11" i="9"/>
  <c r="U17" i="7"/>
  <c r="H22" i="7"/>
  <c r="H16" i="7"/>
  <c r="H20" i="7"/>
  <c r="H14" i="7"/>
  <c r="H6" i="7"/>
  <c r="H9" i="7"/>
  <c r="H19" i="7"/>
  <c r="H18" i="7"/>
  <c r="H12" i="7"/>
  <c r="H21" i="7"/>
  <c r="H15" i="7"/>
  <c r="H7" i="7"/>
  <c r="H5" i="7"/>
  <c r="H3" i="7"/>
  <c r="H8" i="7"/>
  <c r="H4" i="7"/>
  <c r="H17" i="7"/>
  <c r="H13" i="7"/>
  <c r="L10" i="9"/>
  <c r="F10" i="10" s="1"/>
  <c r="F10" i="13" s="1"/>
  <c r="B11" i="7"/>
  <c r="F17" i="32" l="1"/>
  <c r="O17" i="32" s="1"/>
  <c r="P17" i="13"/>
  <c r="F10" i="32"/>
  <c r="O10" i="32" s="1"/>
  <c r="P10" i="13"/>
  <c r="P17" i="32"/>
  <c r="E10" i="8"/>
  <c r="B10" i="11"/>
  <c r="B10" i="31"/>
  <c r="G4" i="31"/>
  <c r="G4" i="11"/>
  <c r="E11" i="31"/>
  <c r="E11" i="11"/>
  <c r="C10" i="8"/>
  <c r="E10" i="11"/>
  <c r="E10" i="31"/>
  <c r="D10" i="11"/>
  <c r="D10" i="31"/>
  <c r="C4" i="11"/>
  <c r="C4" i="31"/>
  <c r="J10" i="11"/>
  <c r="J10" i="31"/>
  <c r="J11" i="11"/>
  <c r="J11" i="31"/>
  <c r="F4" i="8"/>
  <c r="C18" i="8"/>
  <c r="B18" i="8"/>
  <c r="F21" i="10"/>
  <c r="F21" i="13" s="1"/>
  <c r="G21" i="10"/>
  <c r="G21" i="13" s="1"/>
  <c r="G21" i="32" s="1"/>
  <c r="P21" i="32" s="1"/>
  <c r="G15" i="6"/>
  <c r="F15" i="6"/>
  <c r="G16" i="8"/>
  <c r="F16" i="8"/>
  <c r="J21" i="8"/>
  <c r="K21" i="8"/>
  <c r="K21" i="10"/>
  <c r="J21" i="10"/>
  <c r="K18" i="10"/>
  <c r="J18" i="10"/>
  <c r="C11" i="8"/>
  <c r="B11" i="8"/>
  <c r="C5" i="8"/>
  <c r="B5" i="8"/>
  <c r="C9" i="8"/>
  <c r="B9" i="8"/>
  <c r="L8" i="10"/>
  <c r="M8" i="10"/>
  <c r="L19" i="10"/>
  <c r="M19" i="10"/>
  <c r="F15" i="10"/>
  <c r="F15" i="13" s="1"/>
  <c r="G15" i="10"/>
  <c r="G15" i="13" s="1"/>
  <c r="G15" i="32" s="1"/>
  <c r="P15" i="32" s="1"/>
  <c r="F14" i="10"/>
  <c r="F14" i="13" s="1"/>
  <c r="G14" i="10"/>
  <c r="G14" i="13" s="1"/>
  <c r="G14" i="32" s="1"/>
  <c r="P14" i="32" s="1"/>
  <c r="F3" i="6"/>
  <c r="G3" i="6"/>
  <c r="F6" i="6"/>
  <c r="G6" i="6"/>
  <c r="E3" i="8"/>
  <c r="D3" i="8"/>
  <c r="E20" i="8"/>
  <c r="D20" i="8"/>
  <c r="G10" i="8"/>
  <c r="F10" i="8"/>
  <c r="G13" i="8"/>
  <c r="F13" i="8"/>
  <c r="G12" i="8"/>
  <c r="F12" i="8"/>
  <c r="J3" i="8"/>
  <c r="K3" i="8"/>
  <c r="J7" i="8"/>
  <c r="K7" i="8"/>
  <c r="K14" i="10"/>
  <c r="J14" i="10"/>
  <c r="K17" i="10"/>
  <c r="J17" i="10"/>
  <c r="H16" i="10"/>
  <c r="I16" i="10"/>
  <c r="I13" i="10"/>
  <c r="H13" i="10"/>
  <c r="I15" i="10"/>
  <c r="H15" i="10"/>
  <c r="C22" i="8"/>
  <c r="B22" i="8"/>
  <c r="E14" i="8"/>
  <c r="D14" i="8"/>
  <c r="I17" i="10"/>
  <c r="H17" i="10"/>
  <c r="C13" i="8"/>
  <c r="B13" i="8"/>
  <c r="L7" i="10"/>
  <c r="M7" i="10"/>
  <c r="F4" i="10"/>
  <c r="F4" i="13" s="1"/>
  <c r="G4" i="10"/>
  <c r="G4" i="13" s="1"/>
  <c r="G4" i="32" s="1"/>
  <c r="F11" i="10"/>
  <c r="F11" i="13" s="1"/>
  <c r="G11" i="10"/>
  <c r="G11" i="13" s="1"/>
  <c r="G11" i="32" s="1"/>
  <c r="G8" i="6"/>
  <c r="F8" i="6"/>
  <c r="E5" i="8"/>
  <c r="D5" i="8"/>
  <c r="E7" i="8"/>
  <c r="D7" i="8"/>
  <c r="G17" i="8"/>
  <c r="F17" i="8"/>
  <c r="G19" i="8"/>
  <c r="F19" i="8"/>
  <c r="G9" i="8"/>
  <c r="F9" i="8"/>
  <c r="J16" i="8"/>
  <c r="K16" i="8"/>
  <c r="J9" i="8"/>
  <c r="K9" i="8"/>
  <c r="K13" i="10"/>
  <c r="J13" i="10"/>
  <c r="K4" i="10"/>
  <c r="J4" i="10"/>
  <c r="H8" i="10"/>
  <c r="I8" i="10"/>
  <c r="I18" i="10"/>
  <c r="H18" i="10"/>
  <c r="M20" i="10"/>
  <c r="L20" i="10"/>
  <c r="F9" i="10"/>
  <c r="F9" i="13" s="1"/>
  <c r="G9" i="10"/>
  <c r="G9" i="13" s="1"/>
  <c r="G9" i="32" s="1"/>
  <c r="P9" i="32" s="1"/>
  <c r="G19" i="6"/>
  <c r="F19" i="6"/>
  <c r="E18" i="8"/>
  <c r="D18" i="8"/>
  <c r="F21" i="8"/>
  <c r="G21" i="8"/>
  <c r="K22" i="8"/>
  <c r="J22" i="8"/>
  <c r="K5" i="10"/>
  <c r="J5" i="10"/>
  <c r="L3" i="10"/>
  <c r="M3" i="10"/>
  <c r="C19" i="8"/>
  <c r="B19" i="8"/>
  <c r="D11" i="8"/>
  <c r="C8" i="8"/>
  <c r="B8" i="8"/>
  <c r="M13" i="10"/>
  <c r="L13" i="10"/>
  <c r="L16" i="10"/>
  <c r="M16" i="10"/>
  <c r="F7" i="10"/>
  <c r="F7" i="13" s="1"/>
  <c r="G7" i="10"/>
  <c r="F6" i="10"/>
  <c r="F6" i="13" s="1"/>
  <c r="G6" i="10"/>
  <c r="G6" i="13" s="1"/>
  <c r="G6" i="32" s="1"/>
  <c r="F14" i="6"/>
  <c r="G14" i="6"/>
  <c r="E8" i="20"/>
  <c r="F8" i="20" s="1"/>
  <c r="E21" i="8"/>
  <c r="D21" i="8"/>
  <c r="E16" i="8"/>
  <c r="D16" i="8"/>
  <c r="G6" i="8"/>
  <c r="F6" i="8"/>
  <c r="F3" i="8"/>
  <c r="G3" i="8"/>
  <c r="K5" i="8"/>
  <c r="J5" i="8"/>
  <c r="J6" i="8"/>
  <c r="K6" i="8"/>
  <c r="G10" i="10"/>
  <c r="K16" i="10"/>
  <c r="J16" i="10"/>
  <c r="K9" i="10"/>
  <c r="J9" i="10"/>
  <c r="H9" i="10"/>
  <c r="I9" i="10"/>
  <c r="I21" i="10"/>
  <c r="H21" i="10"/>
  <c r="F19" i="10"/>
  <c r="F19" i="13" s="1"/>
  <c r="G19" i="10"/>
  <c r="G19" i="13" s="1"/>
  <c r="G19" i="32" s="1"/>
  <c r="P19" i="32" s="1"/>
  <c r="E17" i="8"/>
  <c r="D17" i="8"/>
  <c r="E22" i="8"/>
  <c r="D22" i="8"/>
  <c r="K17" i="8"/>
  <c r="J17" i="8"/>
  <c r="K20" i="10"/>
  <c r="J20" i="10"/>
  <c r="I3" i="10"/>
  <c r="H3" i="10"/>
  <c r="M15" i="10"/>
  <c r="L15" i="10"/>
  <c r="G22" i="10"/>
  <c r="F22" i="10"/>
  <c r="F22" i="13" s="1"/>
  <c r="F7" i="6"/>
  <c r="G7" i="6"/>
  <c r="G8" i="8"/>
  <c r="F8" i="8"/>
  <c r="G18" i="8"/>
  <c r="F18" i="8"/>
  <c r="J19" i="8"/>
  <c r="K19" i="8"/>
  <c r="L6" i="10"/>
  <c r="M6" i="10"/>
  <c r="C6" i="8"/>
  <c r="B6" i="8"/>
  <c r="C17" i="8"/>
  <c r="B17" i="8"/>
  <c r="C3" i="8"/>
  <c r="B3" i="8"/>
  <c r="M14" i="10"/>
  <c r="L14" i="10"/>
  <c r="M17" i="10"/>
  <c r="L17" i="10"/>
  <c r="M21" i="10"/>
  <c r="L21" i="10"/>
  <c r="F18" i="10"/>
  <c r="F18" i="13" s="1"/>
  <c r="G18" i="10"/>
  <c r="G18" i="13" s="1"/>
  <c r="G18" i="32" s="1"/>
  <c r="P18" i="32" s="1"/>
  <c r="F8" i="10"/>
  <c r="F8" i="13" s="1"/>
  <c r="G8" i="10"/>
  <c r="G8" i="13" s="1"/>
  <c r="G8" i="32" s="1"/>
  <c r="F9" i="6"/>
  <c r="G9" i="6"/>
  <c r="F22" i="6"/>
  <c r="G22" i="6"/>
  <c r="E12" i="8"/>
  <c r="D12" i="8"/>
  <c r="E8" i="8"/>
  <c r="D8" i="8"/>
  <c r="G22" i="8"/>
  <c r="F22" i="8"/>
  <c r="G5" i="8"/>
  <c r="F5" i="8"/>
  <c r="J15" i="8"/>
  <c r="K15" i="8"/>
  <c r="K4" i="8"/>
  <c r="J4" i="8"/>
  <c r="C16" i="8"/>
  <c r="B16" i="8"/>
  <c r="K11" i="8"/>
  <c r="K19" i="10"/>
  <c r="J19" i="10"/>
  <c r="K22" i="10"/>
  <c r="J22" i="10"/>
  <c r="I5" i="10"/>
  <c r="H5" i="10"/>
  <c r="H19" i="10"/>
  <c r="I19" i="10"/>
  <c r="C21" i="8"/>
  <c r="B21" i="8"/>
  <c r="H14" i="10"/>
  <c r="I14" i="10"/>
  <c r="C12" i="8"/>
  <c r="B12" i="8"/>
  <c r="H12" i="10"/>
  <c r="I12" i="10"/>
  <c r="C7" i="8"/>
  <c r="B7" i="8"/>
  <c r="M12" i="10"/>
  <c r="L12" i="10"/>
  <c r="M4" i="10"/>
  <c r="L4" i="10"/>
  <c r="L9" i="10"/>
  <c r="M9" i="10"/>
  <c r="F3" i="10"/>
  <c r="G3" i="10"/>
  <c r="F13" i="10"/>
  <c r="G13" i="10"/>
  <c r="G13" i="13" s="1"/>
  <c r="G13" i="32" s="1"/>
  <c r="P13" i="32" s="1"/>
  <c r="G12" i="6"/>
  <c r="F12" i="6"/>
  <c r="F13" i="6"/>
  <c r="G13" i="6"/>
  <c r="E15" i="8"/>
  <c r="D15" i="8"/>
  <c r="E19" i="8"/>
  <c r="D19" i="8"/>
  <c r="G20" i="8"/>
  <c r="F20" i="8"/>
  <c r="G7" i="8"/>
  <c r="F7" i="8"/>
  <c r="K12" i="8"/>
  <c r="J12" i="8"/>
  <c r="J18" i="8"/>
  <c r="K18" i="8"/>
  <c r="J20" i="8"/>
  <c r="K20" i="8"/>
  <c r="K12" i="10"/>
  <c r="J12" i="10"/>
  <c r="K3" i="10"/>
  <c r="J3" i="10"/>
  <c r="K8" i="10"/>
  <c r="J8" i="10"/>
  <c r="H6" i="10"/>
  <c r="I6" i="10"/>
  <c r="H22" i="10"/>
  <c r="I22" i="10"/>
  <c r="K10" i="8"/>
  <c r="B4" i="8"/>
  <c r="M18" i="10"/>
  <c r="L18" i="10"/>
  <c r="G21" i="6"/>
  <c r="F21" i="6"/>
  <c r="G11" i="8"/>
  <c r="F11" i="8"/>
  <c r="F12" i="10"/>
  <c r="G12" i="10"/>
  <c r="G12" i="13" s="1"/>
  <c r="G12" i="32" s="1"/>
  <c r="P12" i="32" s="1"/>
  <c r="E4" i="8"/>
  <c r="D4" i="8"/>
  <c r="I7" i="10"/>
  <c r="H7" i="10"/>
  <c r="C20" i="8"/>
  <c r="B20" i="8"/>
  <c r="C14" i="8"/>
  <c r="B14" i="8"/>
  <c r="C15" i="8"/>
  <c r="B15" i="8"/>
  <c r="M5" i="10"/>
  <c r="L5" i="10"/>
  <c r="M22" i="10"/>
  <c r="L22" i="10"/>
  <c r="F20" i="10"/>
  <c r="F20" i="13" s="1"/>
  <c r="G20" i="10"/>
  <c r="G20" i="13" s="1"/>
  <c r="G20" i="32" s="1"/>
  <c r="P20" i="32" s="1"/>
  <c r="F5" i="10"/>
  <c r="F5" i="13" s="1"/>
  <c r="G5" i="10"/>
  <c r="G5" i="13" s="1"/>
  <c r="G5" i="32" s="1"/>
  <c r="F16" i="10"/>
  <c r="G16" i="10"/>
  <c r="G18" i="6"/>
  <c r="F18" i="6"/>
  <c r="G20" i="6"/>
  <c r="F20" i="6"/>
  <c r="E13" i="8"/>
  <c r="D13" i="8"/>
  <c r="E9" i="8"/>
  <c r="D9" i="8"/>
  <c r="E6" i="8"/>
  <c r="D6" i="8"/>
  <c r="G14" i="8"/>
  <c r="F14" i="8"/>
  <c r="G15" i="8"/>
  <c r="F15" i="8"/>
  <c r="K13" i="8"/>
  <c r="J13" i="8"/>
  <c r="J14" i="8"/>
  <c r="K14" i="8"/>
  <c r="K8" i="8"/>
  <c r="J8" i="8"/>
  <c r="K15" i="10"/>
  <c r="J15" i="10"/>
  <c r="K6" i="10"/>
  <c r="J6" i="10"/>
  <c r="K7" i="10"/>
  <c r="J7" i="10"/>
  <c r="I4" i="10"/>
  <c r="H4" i="10"/>
  <c r="I20" i="10"/>
  <c r="H20" i="10"/>
  <c r="F7" i="32" l="1"/>
  <c r="O7" i="32" s="1"/>
  <c r="F9" i="32"/>
  <c r="F4" i="32"/>
  <c r="O4" i="32" s="1"/>
  <c r="P4" i="13"/>
  <c r="F20" i="32"/>
  <c r="O20" i="32" s="1"/>
  <c r="F3" i="13"/>
  <c r="F18" i="32"/>
  <c r="O18" i="32" s="1"/>
  <c r="G3" i="13"/>
  <c r="G3" i="32" s="1"/>
  <c r="P3" i="32" s="1"/>
  <c r="O12" i="13"/>
  <c r="F12" i="13"/>
  <c r="G16" i="13"/>
  <c r="G16" i="32" s="1"/>
  <c r="P16" i="32" s="1"/>
  <c r="F19" i="32"/>
  <c r="G10" i="13"/>
  <c r="G10" i="32" s="1"/>
  <c r="P10" i="32" s="1"/>
  <c r="F14" i="32"/>
  <c r="O14" i="32" s="1"/>
  <c r="F21" i="32"/>
  <c r="O21" i="32" s="1"/>
  <c r="F16" i="13"/>
  <c r="F22" i="32"/>
  <c r="O22" i="32" s="1"/>
  <c r="P6" i="32"/>
  <c r="P11" i="32"/>
  <c r="P5" i="32"/>
  <c r="P8" i="32"/>
  <c r="G22" i="13"/>
  <c r="G22" i="32" s="1"/>
  <c r="P22" i="32" s="1"/>
  <c r="F6" i="32"/>
  <c r="O6" i="32" s="1"/>
  <c r="F11" i="32"/>
  <c r="O11" i="32" s="1"/>
  <c r="P11" i="13"/>
  <c r="F15" i="32"/>
  <c r="O15" i="32" s="1"/>
  <c r="F5" i="32"/>
  <c r="O5" i="32" s="1"/>
  <c r="F13" i="13"/>
  <c r="F8" i="32"/>
  <c r="G7" i="13"/>
  <c r="G7" i="32" s="1"/>
  <c r="P7" i="32" s="1"/>
  <c r="G6" i="22"/>
  <c r="P4" i="32"/>
  <c r="K13" i="11"/>
  <c r="K13" i="31"/>
  <c r="E4" i="11"/>
  <c r="E4" i="31"/>
  <c r="F20" i="31"/>
  <c r="F20" i="11"/>
  <c r="G5" i="11"/>
  <c r="G5" i="31"/>
  <c r="G20" i="31"/>
  <c r="G20" i="11"/>
  <c r="C16" i="11"/>
  <c r="C16" i="31"/>
  <c r="F22" i="31"/>
  <c r="F22" i="11"/>
  <c r="G8" i="11"/>
  <c r="G8" i="31"/>
  <c r="F3" i="11"/>
  <c r="F3" i="31"/>
  <c r="D11" i="31"/>
  <c r="D11" i="11"/>
  <c r="F21" i="31"/>
  <c r="F21" i="11"/>
  <c r="B22" i="31"/>
  <c r="B22" i="11"/>
  <c r="D20" i="31"/>
  <c r="D20" i="11"/>
  <c r="E6" i="11"/>
  <c r="E6" i="31"/>
  <c r="B20" i="31"/>
  <c r="B20" i="11"/>
  <c r="D19" i="31"/>
  <c r="D19" i="11"/>
  <c r="G22" i="31"/>
  <c r="G22" i="11"/>
  <c r="B17" i="11"/>
  <c r="B17" i="31"/>
  <c r="F6" i="11"/>
  <c r="F6" i="31"/>
  <c r="B19" i="11"/>
  <c r="B19" i="31"/>
  <c r="D18" i="11"/>
  <c r="D18" i="31"/>
  <c r="G19" i="11"/>
  <c r="G19" i="31"/>
  <c r="C22" i="31"/>
  <c r="C22" i="11"/>
  <c r="J8" i="31"/>
  <c r="J8" i="11"/>
  <c r="D9" i="31"/>
  <c r="D9" i="11"/>
  <c r="C20" i="31"/>
  <c r="C20" i="11"/>
  <c r="K20" i="31"/>
  <c r="K20" i="11"/>
  <c r="E19" i="31"/>
  <c r="E19" i="11"/>
  <c r="B12" i="11"/>
  <c r="B12" i="31"/>
  <c r="J4" i="11"/>
  <c r="J4" i="31"/>
  <c r="D8" i="11"/>
  <c r="D8" i="31"/>
  <c r="C17" i="11"/>
  <c r="C17" i="31"/>
  <c r="G6" i="11"/>
  <c r="G6" i="31"/>
  <c r="C19" i="11"/>
  <c r="C19" i="31"/>
  <c r="E18" i="11"/>
  <c r="E18" i="31"/>
  <c r="K9" i="11"/>
  <c r="K9" i="31"/>
  <c r="F17" i="11"/>
  <c r="F17" i="31"/>
  <c r="B13" i="11"/>
  <c r="B13" i="31"/>
  <c r="F12" i="11"/>
  <c r="F12" i="31"/>
  <c r="D3" i="31"/>
  <c r="D3" i="11"/>
  <c r="G16" i="11"/>
  <c r="G16" i="31"/>
  <c r="K6" i="11"/>
  <c r="K6" i="31"/>
  <c r="J9" i="11"/>
  <c r="J9" i="31"/>
  <c r="F15" i="11"/>
  <c r="F15" i="31"/>
  <c r="B15" i="11"/>
  <c r="B15" i="31"/>
  <c r="G11" i="11"/>
  <c r="G11" i="31"/>
  <c r="K10" i="11"/>
  <c r="K10" i="31"/>
  <c r="K18" i="11"/>
  <c r="K18" i="31"/>
  <c r="E15" i="11"/>
  <c r="E15" i="31"/>
  <c r="K11" i="11"/>
  <c r="K11" i="31"/>
  <c r="K15" i="11"/>
  <c r="K15" i="31"/>
  <c r="D12" i="11"/>
  <c r="D12" i="31"/>
  <c r="B6" i="31"/>
  <c r="B6" i="11"/>
  <c r="J19" i="11"/>
  <c r="J19" i="31"/>
  <c r="K17" i="11"/>
  <c r="K17" i="31"/>
  <c r="J6" i="31"/>
  <c r="J6" i="11"/>
  <c r="E16" i="11"/>
  <c r="E16" i="31"/>
  <c r="K16" i="11"/>
  <c r="K16" i="31"/>
  <c r="D7" i="31"/>
  <c r="D7" i="11"/>
  <c r="F13" i="11"/>
  <c r="F13" i="31"/>
  <c r="C9" i="11"/>
  <c r="C9" i="31"/>
  <c r="B18" i="11"/>
  <c r="B18" i="31"/>
  <c r="G14" i="11"/>
  <c r="G14" i="31"/>
  <c r="C14" i="11"/>
  <c r="C14" i="31"/>
  <c r="C7" i="11"/>
  <c r="C7" i="31"/>
  <c r="G8" i="21"/>
  <c r="B16" i="11"/>
  <c r="B16" i="31"/>
  <c r="D6" i="11"/>
  <c r="D6" i="31"/>
  <c r="C3" i="31"/>
  <c r="C3" i="11"/>
  <c r="K8" i="11"/>
  <c r="K8" i="31"/>
  <c r="E9" i="31"/>
  <c r="E9" i="11"/>
  <c r="F11" i="11"/>
  <c r="F11" i="31"/>
  <c r="B4" i="31"/>
  <c r="B4" i="11"/>
  <c r="J20" i="31"/>
  <c r="J20" i="11"/>
  <c r="D15" i="31"/>
  <c r="D15" i="11"/>
  <c r="C12" i="11"/>
  <c r="C12" i="31"/>
  <c r="K4" i="11"/>
  <c r="K40" i="11" s="1"/>
  <c r="K4" i="31"/>
  <c r="E8" i="11"/>
  <c r="E8" i="31"/>
  <c r="K19" i="11"/>
  <c r="K19" i="31"/>
  <c r="J17" i="11"/>
  <c r="J17" i="31"/>
  <c r="D16" i="11"/>
  <c r="D16" i="31"/>
  <c r="G17" i="11"/>
  <c r="G17" i="31"/>
  <c r="C13" i="11"/>
  <c r="C13" i="31"/>
  <c r="G12" i="11"/>
  <c r="G12" i="31"/>
  <c r="B9" i="11"/>
  <c r="B9" i="31"/>
  <c r="C10" i="11"/>
  <c r="C10" i="31"/>
  <c r="K14" i="11"/>
  <c r="K14" i="31"/>
  <c r="D13" i="31"/>
  <c r="D13" i="11"/>
  <c r="J14" i="11"/>
  <c r="J14" i="31"/>
  <c r="G15" i="11"/>
  <c r="G15" i="31"/>
  <c r="E13" i="31"/>
  <c r="E13" i="11"/>
  <c r="C15" i="11"/>
  <c r="P15" i="11" s="1"/>
  <c r="C15" i="31"/>
  <c r="J18" i="11"/>
  <c r="J18" i="31"/>
  <c r="F7" i="11"/>
  <c r="F7" i="31"/>
  <c r="J15" i="11"/>
  <c r="J15" i="31"/>
  <c r="E12" i="11"/>
  <c r="E12" i="31"/>
  <c r="C6" i="11"/>
  <c r="P6" i="11" s="1"/>
  <c r="C6" i="31"/>
  <c r="F18" i="11"/>
  <c r="F18" i="31"/>
  <c r="D22" i="31"/>
  <c r="D22" i="11"/>
  <c r="J5" i="11"/>
  <c r="J5" i="31"/>
  <c r="D21" i="11"/>
  <c r="D21" i="31"/>
  <c r="B8" i="11"/>
  <c r="B8" i="31"/>
  <c r="J22" i="31"/>
  <c r="J22" i="11"/>
  <c r="J16" i="11"/>
  <c r="J16" i="31"/>
  <c r="E7" i="11"/>
  <c r="E7" i="31"/>
  <c r="G7" i="21"/>
  <c r="G13" i="11"/>
  <c r="G13" i="31"/>
  <c r="B5" i="31"/>
  <c r="C18" i="11"/>
  <c r="C18" i="31"/>
  <c r="E3" i="11"/>
  <c r="E3" i="31"/>
  <c r="J13" i="11"/>
  <c r="J13" i="31"/>
  <c r="F14" i="11"/>
  <c r="F14" i="31"/>
  <c r="B14" i="11"/>
  <c r="B14" i="31"/>
  <c r="D4" i="11"/>
  <c r="D4" i="31"/>
  <c r="J12" i="11"/>
  <c r="J12" i="31"/>
  <c r="G7" i="11"/>
  <c r="G7" i="31"/>
  <c r="G6" i="21"/>
  <c r="B7" i="11"/>
  <c r="B7" i="31"/>
  <c r="B21" i="31"/>
  <c r="B21" i="11"/>
  <c r="F5" i="31"/>
  <c r="F5" i="11"/>
  <c r="G18" i="11"/>
  <c r="G18" i="31"/>
  <c r="E22" i="31"/>
  <c r="E22" i="11"/>
  <c r="K5" i="11"/>
  <c r="K5" i="31"/>
  <c r="E21" i="31"/>
  <c r="E21" i="11"/>
  <c r="C8" i="11"/>
  <c r="C8" i="31"/>
  <c r="K22" i="31"/>
  <c r="K22" i="11"/>
  <c r="F9" i="31"/>
  <c r="F9" i="11"/>
  <c r="D5" i="31"/>
  <c r="D5" i="11"/>
  <c r="D14" i="11"/>
  <c r="D14" i="31"/>
  <c r="K7" i="11"/>
  <c r="K7" i="31"/>
  <c r="G4" i="21"/>
  <c r="F10" i="11"/>
  <c r="O10" i="11" s="1"/>
  <c r="F10" i="31"/>
  <c r="C5" i="31"/>
  <c r="C5" i="11"/>
  <c r="P5" i="11" s="1"/>
  <c r="K12" i="11"/>
  <c r="K12" i="31"/>
  <c r="C21" i="31"/>
  <c r="C21" i="11"/>
  <c r="B3" i="11"/>
  <c r="B3" i="31"/>
  <c r="F8" i="11"/>
  <c r="F8" i="31"/>
  <c r="D17" i="31"/>
  <c r="D17" i="11"/>
  <c r="G3" i="11"/>
  <c r="G3" i="31"/>
  <c r="G21" i="31"/>
  <c r="G21" i="11"/>
  <c r="G9" i="11"/>
  <c r="G9" i="31"/>
  <c r="E5" i="11"/>
  <c r="E5" i="31"/>
  <c r="E14" i="11"/>
  <c r="E14" i="31"/>
  <c r="J7" i="11"/>
  <c r="J7" i="31"/>
  <c r="G10" i="11"/>
  <c r="G10" i="31"/>
  <c r="B11" i="11"/>
  <c r="B11" i="31"/>
  <c r="K21" i="31"/>
  <c r="K21" i="11"/>
  <c r="E17" i="31"/>
  <c r="E17" i="11"/>
  <c r="F19" i="11"/>
  <c r="F19" i="31"/>
  <c r="K3" i="31"/>
  <c r="K3" i="11"/>
  <c r="C11" i="11"/>
  <c r="C11" i="31"/>
  <c r="J21" i="31"/>
  <c r="J21" i="11"/>
  <c r="F4" i="11"/>
  <c r="F4" i="31"/>
  <c r="O10" i="31"/>
  <c r="J3" i="11"/>
  <c r="J3" i="31"/>
  <c r="E20" i="31"/>
  <c r="E20" i="11"/>
  <c r="F16" i="11"/>
  <c r="F16" i="31"/>
  <c r="G29" i="13"/>
  <c r="R12" i="13"/>
  <c r="R22" i="13"/>
  <c r="G27" i="13"/>
  <c r="R7" i="13"/>
  <c r="O9" i="13"/>
  <c r="O21" i="13"/>
  <c r="R14" i="13"/>
  <c r="O6" i="13"/>
  <c r="R5" i="13"/>
  <c r="R15" i="13"/>
  <c r="G26" i="13"/>
  <c r="R6" i="13"/>
  <c r="G28" i="13"/>
  <c r="R9" i="13"/>
  <c r="R8" i="13"/>
  <c r="O14" i="13"/>
  <c r="O5" i="13"/>
  <c r="O8" i="13"/>
  <c r="R20" i="13"/>
  <c r="R16" i="13"/>
  <c r="R13" i="13"/>
  <c r="R21" i="13"/>
  <c r="R19" i="13"/>
  <c r="O19" i="13"/>
  <c r="O15" i="13"/>
  <c r="O20" i="13"/>
  <c r="O18" i="13"/>
  <c r="O22" i="13"/>
  <c r="R18" i="13"/>
  <c r="R5" i="15"/>
  <c r="O5" i="15"/>
  <c r="O16" i="15"/>
  <c r="E5" i="22"/>
  <c r="F5" i="22" s="1"/>
  <c r="E8" i="21"/>
  <c r="F8" i="21" s="1"/>
  <c r="E4" i="22"/>
  <c r="F4" i="22" s="1"/>
  <c r="E6" i="22"/>
  <c r="F6" i="22" s="1"/>
  <c r="E6" i="21"/>
  <c r="F6" i="21" s="1"/>
  <c r="E6" i="20"/>
  <c r="F6" i="20" s="1"/>
  <c r="E3" i="22"/>
  <c r="F3" i="22" s="1"/>
  <c r="R18" i="15"/>
  <c r="O10" i="25"/>
  <c r="E7" i="21"/>
  <c r="F7" i="21" s="1"/>
  <c r="G28" i="15"/>
  <c r="E4" i="21"/>
  <c r="F4" i="21" s="1"/>
  <c r="O8" i="32" l="1"/>
  <c r="O9" i="32"/>
  <c r="P26" i="32" s="1"/>
  <c r="O19" i="32"/>
  <c r="P8" i="11"/>
  <c r="C46" i="11"/>
  <c r="K47" i="11"/>
  <c r="E48" i="11"/>
  <c r="P22" i="11"/>
  <c r="P13" i="11"/>
  <c r="P20" i="11"/>
  <c r="E41" i="11"/>
  <c r="C40" i="11"/>
  <c r="K41" i="11"/>
  <c r="G41" i="11"/>
  <c r="P19" i="11"/>
  <c r="P16" i="11"/>
  <c r="E40" i="11"/>
  <c r="E42" i="11"/>
  <c r="P21" i="11"/>
  <c r="P10" i="11"/>
  <c r="G42" i="11"/>
  <c r="C48" i="11"/>
  <c r="P11" i="11"/>
  <c r="C41" i="11"/>
  <c r="P3" i="11"/>
  <c r="P7" i="11"/>
  <c r="P9" i="11"/>
  <c r="K48" i="11"/>
  <c r="K46" i="11"/>
  <c r="P18" i="11"/>
  <c r="P14" i="11"/>
  <c r="P17" i="11"/>
  <c r="C42" i="11"/>
  <c r="G40" i="11"/>
  <c r="P4" i="11"/>
  <c r="P40" i="11" s="1"/>
  <c r="P12" i="11"/>
  <c r="G46" i="11"/>
  <c r="E47" i="11"/>
  <c r="G47" i="11"/>
  <c r="C47" i="11"/>
  <c r="K42" i="11"/>
  <c r="E46" i="11"/>
  <c r="G48" i="11"/>
  <c r="F16" i="32"/>
  <c r="O16" i="32" s="1"/>
  <c r="G28" i="32"/>
  <c r="D57" i="32" s="1"/>
  <c r="F13" i="32"/>
  <c r="O13" i="32" s="1"/>
  <c r="G32" i="32"/>
  <c r="D61" i="32" s="1"/>
  <c r="O16" i="13"/>
  <c r="O13" i="13"/>
  <c r="F3" i="32"/>
  <c r="O3" i="32" s="1"/>
  <c r="P3" i="13"/>
  <c r="G26" i="32"/>
  <c r="D55" i="32" s="1"/>
  <c r="P33" i="32"/>
  <c r="F12" i="32"/>
  <c r="G27" i="32" s="1"/>
  <c r="D56" i="32" s="1"/>
  <c r="J28" i="13"/>
  <c r="L28" i="13"/>
  <c r="J26" i="13"/>
  <c r="L26" i="13"/>
  <c r="J29" i="13"/>
  <c r="L29" i="13"/>
  <c r="J27" i="13"/>
  <c r="L27" i="13"/>
  <c r="E27" i="31"/>
  <c r="C56" i="31" s="1"/>
  <c r="E28" i="31"/>
  <c r="C57" i="31" s="1"/>
  <c r="E32" i="31"/>
  <c r="C61" i="31" s="1"/>
  <c r="O7" i="31"/>
  <c r="K26" i="31"/>
  <c r="F55" i="31" s="1"/>
  <c r="G26" i="31"/>
  <c r="D55" i="31" s="1"/>
  <c r="O11" i="11"/>
  <c r="O11" i="31"/>
  <c r="O3" i="25"/>
  <c r="O82" i="25" s="1"/>
  <c r="O88" i="25" s="1"/>
  <c r="G28" i="11"/>
  <c r="G27" i="11"/>
  <c r="O9" i="11"/>
  <c r="O4" i="31"/>
  <c r="C28" i="31"/>
  <c r="B57" i="31" s="1"/>
  <c r="O19" i="31"/>
  <c r="O22" i="11"/>
  <c r="G31" i="31"/>
  <c r="D60" i="31" s="1"/>
  <c r="G32" i="31"/>
  <c r="D61" i="31" s="1"/>
  <c r="C27" i="31"/>
  <c r="B56" i="31" s="1"/>
  <c r="T36" i="31"/>
  <c r="T37" i="31" s="1"/>
  <c r="C32" i="31"/>
  <c r="B61" i="31" s="1"/>
  <c r="U36" i="31"/>
  <c r="U37" i="31"/>
  <c r="O19" i="11"/>
  <c r="O22" i="31"/>
  <c r="O5" i="25"/>
  <c r="O3" i="11"/>
  <c r="O25" i="11" s="1"/>
  <c r="O31" i="11" s="1"/>
  <c r="O5" i="31"/>
  <c r="K28" i="31"/>
  <c r="F57" i="31" s="1"/>
  <c r="O20" i="11"/>
  <c r="K32" i="31"/>
  <c r="F61" i="31" s="1"/>
  <c r="O21" i="11"/>
  <c r="O5" i="11"/>
  <c r="O16" i="31"/>
  <c r="O20" i="31"/>
  <c r="O21" i="31"/>
  <c r="O16" i="11"/>
  <c r="O18" i="31"/>
  <c r="K27" i="31"/>
  <c r="F56" i="31" s="1"/>
  <c r="G27" i="31"/>
  <c r="D56" i="31" s="1"/>
  <c r="K33" i="31"/>
  <c r="F62" i="31" s="1"/>
  <c r="O13" i="31"/>
  <c r="E33" i="31"/>
  <c r="C62" i="31" s="1"/>
  <c r="E26" i="31"/>
  <c r="C55" i="31" s="1"/>
  <c r="O8" i="31"/>
  <c r="G28" i="31"/>
  <c r="D57" i="31" s="1"/>
  <c r="E31" i="31"/>
  <c r="C60" i="31" s="1"/>
  <c r="K31" i="31"/>
  <c r="F60" i="31" s="1"/>
  <c r="O18" i="11"/>
  <c r="O13" i="11"/>
  <c r="T40" i="31"/>
  <c r="T41" i="31" s="1"/>
  <c r="O17" i="11"/>
  <c r="O7" i="11"/>
  <c r="O14" i="31"/>
  <c r="O8" i="11"/>
  <c r="O6" i="11"/>
  <c r="P48" i="11" s="1"/>
  <c r="O15" i="31"/>
  <c r="O17" i="31"/>
  <c r="G33" i="31"/>
  <c r="D62" i="31" s="1"/>
  <c r="O12" i="31"/>
  <c r="C31" i="31"/>
  <c r="B60" i="31" s="1"/>
  <c r="O14" i="11"/>
  <c r="C26" i="31"/>
  <c r="B55" i="31" s="1"/>
  <c r="C33" i="31"/>
  <c r="B62" i="31" s="1"/>
  <c r="O9" i="31"/>
  <c r="O4" i="11"/>
  <c r="G29" i="11"/>
  <c r="O6" i="31"/>
  <c r="O15" i="11"/>
  <c r="O12" i="11"/>
  <c r="F27" i="13"/>
  <c r="F28" i="13"/>
  <c r="T28" i="13" s="1"/>
  <c r="F26" i="13"/>
  <c r="O7" i="13"/>
  <c r="O26" i="13" s="1"/>
  <c r="F29" i="13"/>
  <c r="T29" i="13" s="1"/>
  <c r="O6" i="25"/>
  <c r="O8" i="25"/>
  <c r="O7" i="25"/>
  <c r="O11" i="25"/>
  <c r="O4" i="25"/>
  <c r="G29" i="15"/>
  <c r="G26" i="15"/>
  <c r="R12" i="15"/>
  <c r="G27" i="15"/>
  <c r="O7" i="15"/>
  <c r="O8" i="15"/>
  <c r="O9" i="15"/>
  <c r="O12" i="15"/>
  <c r="O21" i="15"/>
  <c r="O14" i="15"/>
  <c r="O15" i="15"/>
  <c r="O13" i="15"/>
  <c r="O22" i="15"/>
  <c r="O20" i="15"/>
  <c r="O18" i="15"/>
  <c r="O6" i="15"/>
  <c r="O19" i="15"/>
  <c r="O12" i="25"/>
  <c r="O17" i="25"/>
  <c r="O18" i="25"/>
  <c r="O20" i="25"/>
  <c r="O19" i="25"/>
  <c r="O9" i="25"/>
  <c r="P27" i="25"/>
  <c r="O15" i="25"/>
  <c r="O16" i="25"/>
  <c r="O21" i="25"/>
  <c r="O22" i="25"/>
  <c r="O14" i="25"/>
  <c r="O13" i="25"/>
  <c r="E41" i="32" l="1"/>
  <c r="C44" i="40"/>
  <c r="E41" i="39"/>
  <c r="E38" i="32"/>
  <c r="C41" i="40"/>
  <c r="E38" i="39"/>
  <c r="P32" i="25"/>
  <c r="C38" i="32"/>
  <c r="C38" i="39"/>
  <c r="C41" i="32"/>
  <c r="I41" i="32" s="1"/>
  <c r="L41" i="32" s="1"/>
  <c r="C41" i="39"/>
  <c r="E40" i="32"/>
  <c r="E40" i="39"/>
  <c r="C43" i="40"/>
  <c r="C40" i="32"/>
  <c r="C40" i="39"/>
  <c r="E39" i="32"/>
  <c r="C42" i="40"/>
  <c r="E39" i="39"/>
  <c r="C39" i="32"/>
  <c r="I38" i="32" s="1"/>
  <c r="L38" i="32" s="1"/>
  <c r="F32" i="32" s="1"/>
  <c r="C39" i="39"/>
  <c r="P28" i="25"/>
  <c r="P26" i="25"/>
  <c r="P33" i="25"/>
  <c r="P31" i="25"/>
  <c r="O84" i="25"/>
  <c r="O89" i="25" s="1"/>
  <c r="O83" i="25"/>
  <c r="F83" i="25"/>
  <c r="F86" i="25"/>
  <c r="F85" i="25"/>
  <c r="F84" i="25"/>
  <c r="P31" i="32"/>
  <c r="O24" i="13"/>
  <c r="Q24" i="13" s="1"/>
  <c r="O29" i="13"/>
  <c r="Q29" i="13" s="1"/>
  <c r="Q26" i="13"/>
  <c r="I27" i="13"/>
  <c r="B39" i="39" s="1"/>
  <c r="T27" i="13"/>
  <c r="K26" i="13"/>
  <c r="T26" i="13"/>
  <c r="E64" i="32" a="1"/>
  <c r="F65" i="32" s="1"/>
  <c r="P28" i="32"/>
  <c r="G33" i="32"/>
  <c r="D62" i="32" s="1"/>
  <c r="O12" i="32"/>
  <c r="P27" i="32" s="1"/>
  <c r="P47" i="11"/>
  <c r="P46" i="11"/>
  <c r="P41" i="11"/>
  <c r="P42" i="11"/>
  <c r="G31" i="32"/>
  <c r="D60" i="32" s="1"/>
  <c r="B39" i="32"/>
  <c r="D38" i="32"/>
  <c r="P27" i="31"/>
  <c r="E64" i="31" a="1"/>
  <c r="F68" i="31" s="1"/>
  <c r="F27" i="11"/>
  <c r="K27" i="11" s="1"/>
  <c r="B42" i="26" s="1"/>
  <c r="E72" i="31" a="1"/>
  <c r="G77" i="31" s="1"/>
  <c r="O27" i="11"/>
  <c r="O32" i="11" s="1"/>
  <c r="P31" i="31"/>
  <c r="P28" i="31"/>
  <c r="J27" i="11"/>
  <c r="C39" i="31" s="1"/>
  <c r="P26" i="31"/>
  <c r="F26" i="11"/>
  <c r="B41" i="26" s="1"/>
  <c r="O26" i="11"/>
  <c r="F28" i="11"/>
  <c r="J28" i="11"/>
  <c r="C40" i="31" s="1"/>
  <c r="P33" i="31"/>
  <c r="P32" i="31"/>
  <c r="J26" i="11"/>
  <c r="C38" i="31" s="1"/>
  <c r="F29" i="11"/>
  <c r="J29" i="11"/>
  <c r="C41" i="31" s="1"/>
  <c r="V37" i="31"/>
  <c r="V36" i="31" s="1"/>
  <c r="K27" i="13"/>
  <c r="O34" i="13"/>
  <c r="I28" i="13"/>
  <c r="B40" i="39" s="1"/>
  <c r="K28" i="13"/>
  <c r="I29" i="13"/>
  <c r="B41" i="39" s="1"/>
  <c r="K29" i="13"/>
  <c r="O24" i="15"/>
  <c r="F34" i="13"/>
  <c r="I26" i="13"/>
  <c r="B38" i="39" s="1"/>
  <c r="O26" i="15"/>
  <c r="O29" i="15" s="1"/>
  <c r="F27" i="15"/>
  <c r="F29" i="15"/>
  <c r="F28" i="15"/>
  <c r="F26" i="15"/>
  <c r="G41" i="39" l="1"/>
  <c r="B44" i="40"/>
  <c r="D41" i="39"/>
  <c r="I39" i="32"/>
  <c r="L39" i="32" s="1"/>
  <c r="I40" i="32"/>
  <c r="L40" i="32" s="1"/>
  <c r="O31" i="32" s="1"/>
  <c r="D40" i="39"/>
  <c r="B43" i="40"/>
  <c r="G40" i="39"/>
  <c r="G39" i="39"/>
  <c r="G38" i="39"/>
  <c r="B41" i="40"/>
  <c r="D38" i="39"/>
  <c r="B42" i="40"/>
  <c r="F43" i="40" s="1"/>
  <c r="D39" i="39"/>
  <c r="K85" i="25"/>
  <c r="I85" i="25"/>
  <c r="I86" i="25"/>
  <c r="K86" i="25"/>
  <c r="F91" i="25"/>
  <c r="E92" i="25" s="1"/>
  <c r="K83" i="25"/>
  <c r="I83" i="25"/>
  <c r="I84" i="25"/>
  <c r="K84" i="25"/>
  <c r="O91" i="25"/>
  <c r="L56" i="26"/>
  <c r="L52" i="26"/>
  <c r="L65" i="26"/>
  <c r="L47" i="26"/>
  <c r="L45" i="26"/>
  <c r="L74" i="26"/>
  <c r="L63" i="26"/>
  <c r="L61" i="26"/>
  <c r="L70" i="26"/>
  <c r="L54" i="26"/>
  <c r="L72" i="26"/>
  <c r="P32" i="32"/>
  <c r="O32" i="32"/>
  <c r="O27" i="32"/>
  <c r="E72" i="32" a="1"/>
  <c r="G74" i="32" s="1"/>
  <c r="E66" i="32"/>
  <c r="E65" i="32"/>
  <c r="F70" i="32"/>
  <c r="L28" i="32"/>
  <c r="L33" i="32"/>
  <c r="G52" i="32" s="1"/>
  <c r="H33" i="32"/>
  <c r="E52" i="32" s="1"/>
  <c r="J28" i="32"/>
  <c r="F47" i="32" s="1"/>
  <c r="H28" i="32"/>
  <c r="E47" i="32" s="1"/>
  <c r="J33" i="32"/>
  <c r="F52" i="32" s="1"/>
  <c r="B33" i="32"/>
  <c r="B52" i="32" s="1"/>
  <c r="D28" i="32"/>
  <c r="C47" i="32" s="1"/>
  <c r="D33" i="32"/>
  <c r="F28" i="32"/>
  <c r="F33" i="32"/>
  <c r="E64" i="32"/>
  <c r="F64" i="32"/>
  <c r="G66" i="32"/>
  <c r="B32" i="32"/>
  <c r="B51" i="32" s="1"/>
  <c r="J27" i="32"/>
  <c r="F46" i="32" s="1"/>
  <c r="L27" i="32"/>
  <c r="L32" i="32"/>
  <c r="H32" i="32"/>
  <c r="E51" i="32" s="1"/>
  <c r="J32" i="32"/>
  <c r="F51" i="32" s="1"/>
  <c r="H27" i="32"/>
  <c r="E46" i="32" s="1"/>
  <c r="D27" i="32"/>
  <c r="C46" i="32" s="1"/>
  <c r="D32" i="32"/>
  <c r="C51" i="32" s="1"/>
  <c r="G68" i="32"/>
  <c r="F67" i="32"/>
  <c r="F66" i="32"/>
  <c r="E67" i="32"/>
  <c r="O33" i="32"/>
  <c r="G70" i="32"/>
  <c r="F69" i="32"/>
  <c r="J31" i="32"/>
  <c r="F50" i="32" s="1"/>
  <c r="L31" i="32"/>
  <c r="G50" i="32" s="1"/>
  <c r="H26" i="32"/>
  <c r="J26" i="32"/>
  <c r="H31" i="32"/>
  <c r="L26" i="32"/>
  <c r="G45" i="32" s="1"/>
  <c r="B31" i="32"/>
  <c r="B50" i="32" s="1"/>
  <c r="D31" i="32"/>
  <c r="C50" i="32" s="1"/>
  <c r="D26" i="32"/>
  <c r="C45" i="32" s="1"/>
  <c r="F26" i="32"/>
  <c r="D45" i="32" s="1"/>
  <c r="F31" i="32"/>
  <c r="D50" i="32" s="1"/>
  <c r="F68" i="32"/>
  <c r="E68" i="32"/>
  <c r="G69" i="32"/>
  <c r="O28" i="32"/>
  <c r="G64" i="32"/>
  <c r="G67" i="32"/>
  <c r="E69" i="32"/>
  <c r="O26" i="32"/>
  <c r="E70" i="32"/>
  <c r="G65" i="32"/>
  <c r="F27" i="32"/>
  <c r="D46" i="32" s="1"/>
  <c r="I27" i="11"/>
  <c r="B39" i="31" s="1"/>
  <c r="O34" i="11"/>
  <c r="B28" i="32"/>
  <c r="B47" i="32" s="1"/>
  <c r="C52" i="32"/>
  <c r="D47" i="32"/>
  <c r="G47" i="32"/>
  <c r="D52" i="32"/>
  <c r="D40" i="32"/>
  <c r="B41" i="32"/>
  <c r="B40" i="32"/>
  <c r="B38" i="32"/>
  <c r="B27" i="32"/>
  <c r="B46" i="32" s="1"/>
  <c r="D51" i="32"/>
  <c r="G51" i="32"/>
  <c r="G46" i="32"/>
  <c r="D39" i="32"/>
  <c r="D41" i="32"/>
  <c r="E50" i="32"/>
  <c r="E45" i="32"/>
  <c r="F45" i="32"/>
  <c r="B26" i="32"/>
  <c r="B45" i="32" s="1"/>
  <c r="F67" i="31"/>
  <c r="G66" i="31"/>
  <c r="G68" i="31"/>
  <c r="F70" i="31"/>
  <c r="F66" i="31"/>
  <c r="E78" i="31"/>
  <c r="E68" i="31"/>
  <c r="F78" i="31"/>
  <c r="G70" i="31"/>
  <c r="F75" i="31"/>
  <c r="F76" i="31"/>
  <c r="E76" i="31"/>
  <c r="F64" i="31"/>
  <c r="G64" i="31"/>
  <c r="E72" i="31"/>
  <c r="F72" i="31"/>
  <c r="E65" i="31"/>
  <c r="E67" i="31"/>
  <c r="G65" i="31"/>
  <c r="F74" i="31"/>
  <c r="E73" i="31"/>
  <c r="E75" i="31"/>
  <c r="G74" i="31"/>
  <c r="E74" i="31"/>
  <c r="E66" i="31"/>
  <c r="F65" i="31"/>
  <c r="E64" i="31"/>
  <c r="G72" i="31"/>
  <c r="G73" i="31"/>
  <c r="F73" i="31"/>
  <c r="F69" i="31"/>
  <c r="E69" i="31"/>
  <c r="E70" i="31"/>
  <c r="G78" i="31"/>
  <c r="F77" i="31"/>
  <c r="G76" i="31"/>
  <c r="G67" i="31"/>
  <c r="G69" i="31"/>
  <c r="E77" i="31"/>
  <c r="G75" i="31"/>
  <c r="I26" i="11"/>
  <c r="F34" i="11"/>
  <c r="E35" i="11" s="1"/>
  <c r="D39" i="31"/>
  <c r="K28" i="11"/>
  <c r="B43" i="26" s="1"/>
  <c r="I28" i="11"/>
  <c r="I29" i="11"/>
  <c r="K29" i="11"/>
  <c r="B44" i="26" s="1"/>
  <c r="I34" i="13"/>
  <c r="K34" i="13"/>
  <c r="I29" i="15"/>
  <c r="K29" i="15"/>
  <c r="I27" i="15"/>
  <c r="K27" i="15"/>
  <c r="I28" i="15"/>
  <c r="K28" i="15"/>
  <c r="I26" i="15"/>
  <c r="F34" i="15"/>
  <c r="O34" i="15"/>
  <c r="F42" i="40" l="1"/>
  <c r="I39" i="39"/>
  <c r="L39" i="39" s="1"/>
  <c r="F33" i="39" s="1"/>
  <c r="D52" i="39" s="1"/>
  <c r="F41" i="40"/>
  <c r="B39" i="25"/>
  <c r="U84" i="25"/>
  <c r="H33" i="39"/>
  <c r="E52" i="39" s="1"/>
  <c r="B33" i="39"/>
  <c r="B52" i="39" s="1"/>
  <c r="B28" i="39"/>
  <c r="B47" i="39" s="1"/>
  <c r="J28" i="39"/>
  <c r="F47" i="39" s="1"/>
  <c r="D28" i="39"/>
  <c r="C47" i="39" s="1"/>
  <c r="L28" i="39"/>
  <c r="G47" i="39" s="1"/>
  <c r="F28" i="39"/>
  <c r="D47" i="39" s="1"/>
  <c r="H28" i="39"/>
  <c r="E47" i="39" s="1"/>
  <c r="O28" i="39"/>
  <c r="J47" i="39" s="1"/>
  <c r="D33" i="39"/>
  <c r="C52" i="39" s="1"/>
  <c r="O33" i="39"/>
  <c r="J52" i="39" s="1"/>
  <c r="J33" i="39"/>
  <c r="F52" i="39" s="1"/>
  <c r="B40" i="25"/>
  <c r="U85" i="25"/>
  <c r="B38" i="25"/>
  <c r="G41" i="25" s="1"/>
  <c r="L41" i="25" s="1"/>
  <c r="U83" i="25"/>
  <c r="D38" i="25"/>
  <c r="W83" i="25"/>
  <c r="F44" i="40"/>
  <c r="J39" i="39"/>
  <c r="M39" i="39" s="1"/>
  <c r="D40" i="25"/>
  <c r="I40" i="25" s="1"/>
  <c r="W85" i="25"/>
  <c r="D42" i="40"/>
  <c r="D43" i="40"/>
  <c r="D39" i="25"/>
  <c r="W84" i="25"/>
  <c r="D41" i="25"/>
  <c r="W86" i="25"/>
  <c r="I38" i="39"/>
  <c r="I40" i="39"/>
  <c r="L40" i="39" s="1"/>
  <c r="I41" i="39"/>
  <c r="L71" i="36"/>
  <c r="L76" i="36"/>
  <c r="L73" i="36"/>
  <c r="L75" i="36"/>
  <c r="L77" i="36"/>
  <c r="B41" i="25"/>
  <c r="U86" i="25"/>
  <c r="D41" i="40"/>
  <c r="D44" i="40"/>
  <c r="D42" i="26"/>
  <c r="G39" i="25"/>
  <c r="L39" i="25" s="1"/>
  <c r="G38" i="25"/>
  <c r="L38" i="25" s="1"/>
  <c r="H39" i="25"/>
  <c r="M39" i="25" s="1"/>
  <c r="I91" i="25"/>
  <c r="I92" i="25" s="1"/>
  <c r="L83" i="25"/>
  <c r="E38" i="25" s="1"/>
  <c r="L84" i="25"/>
  <c r="E39" i="25" s="1"/>
  <c r="L85" i="25"/>
  <c r="E40" i="25" s="1"/>
  <c r="L86" i="25"/>
  <c r="E41" i="25" s="1"/>
  <c r="K91" i="25"/>
  <c r="K92" i="25" s="1"/>
  <c r="D44" i="26"/>
  <c r="D43" i="26"/>
  <c r="D41" i="26"/>
  <c r="L44" i="26" s="1"/>
  <c r="F74" i="32"/>
  <c r="E75" i="32"/>
  <c r="G73" i="32"/>
  <c r="E76" i="32"/>
  <c r="F72" i="32"/>
  <c r="E72" i="32"/>
  <c r="G72" i="32"/>
  <c r="F73" i="32"/>
  <c r="G78" i="32"/>
  <c r="F78" i="32"/>
  <c r="E74" i="32"/>
  <c r="F76" i="32"/>
  <c r="E77" i="32"/>
  <c r="G75" i="32"/>
  <c r="G76" i="32"/>
  <c r="E78" i="32"/>
  <c r="G77" i="32"/>
  <c r="F77" i="32"/>
  <c r="F75" i="32"/>
  <c r="E73" i="32"/>
  <c r="L26" i="11"/>
  <c r="C41" i="26" s="1"/>
  <c r="F41" i="26" s="1"/>
  <c r="L27" i="11"/>
  <c r="L28" i="11"/>
  <c r="C43" i="26" s="1"/>
  <c r="F43" i="26" s="1"/>
  <c r="L29" i="11"/>
  <c r="C44" i="26" s="1"/>
  <c r="F44" i="26" s="1"/>
  <c r="G38" i="32"/>
  <c r="A72" i="32" a="1"/>
  <c r="D78" i="32" s="1"/>
  <c r="J39" i="32"/>
  <c r="M39" i="32" s="1"/>
  <c r="G40" i="32"/>
  <c r="J40" i="32"/>
  <c r="M40" i="32" s="1"/>
  <c r="G41" i="32"/>
  <c r="J38" i="32"/>
  <c r="M38" i="32" s="1"/>
  <c r="G39" i="32"/>
  <c r="A64" i="32" a="1"/>
  <c r="J41" i="32"/>
  <c r="M41" i="32" s="1"/>
  <c r="B40" i="31"/>
  <c r="D40" i="31"/>
  <c r="D41" i="31"/>
  <c r="B41" i="31"/>
  <c r="B38" i="31"/>
  <c r="I34" i="11"/>
  <c r="I35" i="11" s="1"/>
  <c r="D38" i="31"/>
  <c r="K34" i="11"/>
  <c r="K34" i="15"/>
  <c r="I34" i="15"/>
  <c r="G40" i="25" l="1"/>
  <c r="L40" i="25" s="1"/>
  <c r="H38" i="25"/>
  <c r="M38" i="25" s="1"/>
  <c r="I39" i="25"/>
  <c r="L33" i="39"/>
  <c r="G52" i="39" s="1"/>
  <c r="E39" i="31"/>
  <c r="C42" i="26"/>
  <c r="F42" i="26" s="1"/>
  <c r="E44" i="40"/>
  <c r="L75" i="40"/>
  <c r="L77" i="40"/>
  <c r="L73" i="40"/>
  <c r="L76" i="40"/>
  <c r="L71" i="40"/>
  <c r="L41" i="39"/>
  <c r="J41" i="39"/>
  <c r="M41" i="39" s="1"/>
  <c r="L53" i="40"/>
  <c r="L58" i="40"/>
  <c r="L57" i="40"/>
  <c r="E42" i="40"/>
  <c r="L55" i="40"/>
  <c r="L59" i="40"/>
  <c r="I41" i="25"/>
  <c r="J41" i="25" s="1"/>
  <c r="E43" i="40"/>
  <c r="L64" i="40"/>
  <c r="L67" i="40"/>
  <c r="L66" i="40"/>
  <c r="L62" i="40"/>
  <c r="L68" i="40"/>
  <c r="L66" i="36"/>
  <c r="L64" i="36"/>
  <c r="L67" i="36"/>
  <c r="L62" i="36"/>
  <c r="L68" i="36"/>
  <c r="E41" i="40"/>
  <c r="L48" i="40"/>
  <c r="L50" i="40"/>
  <c r="L49" i="40"/>
  <c r="L46" i="40"/>
  <c r="L44" i="40"/>
  <c r="J31" i="39"/>
  <c r="F50" i="39" s="1"/>
  <c r="B26" i="39"/>
  <c r="B45" i="39" s="1"/>
  <c r="F26" i="39"/>
  <c r="D45" i="39" s="1"/>
  <c r="H26" i="39"/>
  <c r="E45" i="39" s="1"/>
  <c r="D31" i="39"/>
  <c r="C50" i="39" s="1"/>
  <c r="B31" i="39"/>
  <c r="B50" i="39" s="1"/>
  <c r="D26" i="39"/>
  <c r="C45" i="39" s="1"/>
  <c r="L31" i="39"/>
  <c r="G50" i="39" s="1"/>
  <c r="J26" i="39"/>
  <c r="F45" i="39" s="1"/>
  <c r="L26" i="39"/>
  <c r="G45" i="39" s="1"/>
  <c r="F31" i="39"/>
  <c r="D50" i="39" s="1"/>
  <c r="H31" i="39"/>
  <c r="E50" i="39" s="1"/>
  <c r="O31" i="39"/>
  <c r="J50" i="39" s="1"/>
  <c r="O26" i="39"/>
  <c r="J45" i="39" s="1"/>
  <c r="I38" i="25"/>
  <c r="S27" i="25"/>
  <c r="Q32" i="25"/>
  <c r="L38" i="39"/>
  <c r="J38" i="39"/>
  <c r="M38" i="39" s="1"/>
  <c r="S28" i="25"/>
  <c r="Q33" i="25"/>
  <c r="L58" i="36"/>
  <c r="L57" i="36"/>
  <c r="L55" i="36"/>
  <c r="L53" i="36"/>
  <c r="L59" i="36"/>
  <c r="S26" i="25"/>
  <c r="Q31" i="25"/>
  <c r="O26" i="25"/>
  <c r="J45" i="25" s="1"/>
  <c r="G44" i="40"/>
  <c r="L46" i="36"/>
  <c r="L50" i="36"/>
  <c r="L44" i="36"/>
  <c r="L48" i="36"/>
  <c r="L49" i="36"/>
  <c r="J40" i="39"/>
  <c r="M40" i="39" s="1"/>
  <c r="L53" i="26"/>
  <c r="L55" i="26"/>
  <c r="L57" i="26"/>
  <c r="E42" i="26"/>
  <c r="L58" i="26"/>
  <c r="L59" i="26"/>
  <c r="D26" i="25"/>
  <c r="C45" i="25" s="1"/>
  <c r="D31" i="25"/>
  <c r="C50" i="25" s="1"/>
  <c r="L31" i="25"/>
  <c r="G50" i="25" s="1"/>
  <c r="L26" i="25"/>
  <c r="G45" i="25" s="1"/>
  <c r="H26" i="25"/>
  <c r="E45" i="25" s="1"/>
  <c r="F31" i="25"/>
  <c r="D50" i="25" s="1"/>
  <c r="J31" i="25"/>
  <c r="F50" i="25" s="1"/>
  <c r="J26" i="25"/>
  <c r="F45" i="25" s="1"/>
  <c r="H31" i="25"/>
  <c r="E50" i="25" s="1"/>
  <c r="F26" i="25"/>
  <c r="D45" i="25" s="1"/>
  <c r="B31" i="25"/>
  <c r="B50" i="25" s="1"/>
  <c r="B26" i="25"/>
  <c r="B45" i="25" s="1"/>
  <c r="O31" i="25"/>
  <c r="J50" i="25" s="1"/>
  <c r="F27" i="25"/>
  <c r="D46" i="25" s="1"/>
  <c r="J27" i="25"/>
  <c r="F46" i="25" s="1"/>
  <c r="F32" i="25"/>
  <c r="D51" i="25" s="1"/>
  <c r="L32" i="25"/>
  <c r="G51" i="25" s="1"/>
  <c r="H27" i="25"/>
  <c r="E46" i="25" s="1"/>
  <c r="H32" i="25"/>
  <c r="E51" i="25" s="1"/>
  <c r="B32" i="25"/>
  <c r="B51" i="25" s="1"/>
  <c r="D32" i="25"/>
  <c r="C51" i="25" s="1"/>
  <c r="J32" i="25"/>
  <c r="F51" i="25" s="1"/>
  <c r="B27" i="25"/>
  <c r="B46" i="25" s="1"/>
  <c r="D27" i="25"/>
  <c r="C46" i="25" s="1"/>
  <c r="L27" i="25"/>
  <c r="G46" i="25" s="1"/>
  <c r="O27" i="25"/>
  <c r="J46" i="25" s="1"/>
  <c r="L46" i="25" s="1"/>
  <c r="O32" i="25"/>
  <c r="J51" i="25" s="1"/>
  <c r="L51" i="25" s="1"/>
  <c r="H28" i="25"/>
  <c r="E47" i="25" s="1"/>
  <c r="H33" i="25"/>
  <c r="E52" i="25" s="1"/>
  <c r="B28" i="25"/>
  <c r="B47" i="25" s="1"/>
  <c r="F28" i="25"/>
  <c r="D47" i="25" s="1"/>
  <c r="L33" i="25"/>
  <c r="G52" i="25" s="1"/>
  <c r="F33" i="25"/>
  <c r="D52" i="25" s="1"/>
  <c r="B33" i="25"/>
  <c r="B52" i="25" s="1"/>
  <c r="L28" i="25"/>
  <c r="G47" i="25" s="1"/>
  <c r="J28" i="25"/>
  <c r="F47" i="25" s="1"/>
  <c r="D33" i="25"/>
  <c r="C52" i="25" s="1"/>
  <c r="D28" i="25"/>
  <c r="C47" i="25" s="1"/>
  <c r="J33" i="25"/>
  <c r="F52" i="25" s="1"/>
  <c r="O33" i="25"/>
  <c r="J52" i="25" s="1"/>
  <c r="O28" i="25"/>
  <c r="J47" i="25" s="1"/>
  <c r="H40" i="25"/>
  <c r="M40" i="25" s="1"/>
  <c r="J39" i="25"/>
  <c r="J40" i="25"/>
  <c r="J38" i="25"/>
  <c r="H41" i="25"/>
  <c r="M41" i="25" s="1"/>
  <c r="Q86" i="25"/>
  <c r="R86" i="25" s="1"/>
  <c r="Q85" i="25"/>
  <c r="R85" i="25" s="1"/>
  <c r="Q84" i="25"/>
  <c r="R84" i="25" s="1"/>
  <c r="Q83" i="25"/>
  <c r="R83" i="25" s="1"/>
  <c r="L62" i="26"/>
  <c r="L66" i="26"/>
  <c r="L64" i="26"/>
  <c r="L68" i="26"/>
  <c r="L67" i="26"/>
  <c r="L48" i="26"/>
  <c r="L46" i="26"/>
  <c r="L49" i="26"/>
  <c r="L50" i="26"/>
  <c r="L73" i="26"/>
  <c r="L71" i="26"/>
  <c r="L75" i="26"/>
  <c r="L77" i="26"/>
  <c r="L76" i="26"/>
  <c r="E44" i="26"/>
  <c r="G44" i="26" s="1"/>
  <c r="E43" i="26"/>
  <c r="G43" i="26" s="1"/>
  <c r="E41" i="26"/>
  <c r="G41" i="26" s="1"/>
  <c r="E40" i="31"/>
  <c r="K35" i="11"/>
  <c r="Q27" i="11"/>
  <c r="R27" i="11" s="1"/>
  <c r="E38" i="31"/>
  <c r="Q28" i="11"/>
  <c r="E41" i="31"/>
  <c r="Q29" i="11"/>
  <c r="R29" i="11" s="1"/>
  <c r="Q26" i="11"/>
  <c r="C75" i="32"/>
  <c r="A75" i="32"/>
  <c r="A74" i="32"/>
  <c r="D77" i="32"/>
  <c r="B72" i="32"/>
  <c r="A78" i="32"/>
  <c r="C72" i="32"/>
  <c r="C73" i="32"/>
  <c r="D75" i="32"/>
  <c r="C77" i="32"/>
  <c r="B78" i="32"/>
  <c r="B77" i="32"/>
  <c r="C78" i="32"/>
  <c r="B74" i="32"/>
  <c r="A72" i="32"/>
  <c r="B75" i="32"/>
  <c r="C74" i="32"/>
  <c r="D74" i="32"/>
  <c r="D76" i="32"/>
  <c r="B73" i="32"/>
  <c r="D73" i="32"/>
  <c r="C76" i="32"/>
  <c r="A76" i="32"/>
  <c r="B76" i="32"/>
  <c r="A77" i="32"/>
  <c r="D72" i="32"/>
  <c r="A73" i="32"/>
  <c r="D66" i="32"/>
  <c r="C67" i="32"/>
  <c r="D70" i="32"/>
  <c r="A64" i="32"/>
  <c r="C65" i="32"/>
  <c r="B66" i="32"/>
  <c r="C69" i="32"/>
  <c r="C64" i="32"/>
  <c r="A65" i="32"/>
  <c r="B68" i="32"/>
  <c r="B67" i="32"/>
  <c r="D68" i="32"/>
  <c r="B70" i="32"/>
  <c r="D67" i="32"/>
  <c r="D69" i="32"/>
  <c r="A67" i="32"/>
  <c r="A70" i="32"/>
  <c r="B69" i="32"/>
  <c r="A69" i="32"/>
  <c r="C66" i="32"/>
  <c r="C68" i="32"/>
  <c r="C70" i="32"/>
  <c r="B65" i="32"/>
  <c r="D64" i="32"/>
  <c r="D65" i="32"/>
  <c r="B64" i="32"/>
  <c r="A66" i="32"/>
  <c r="A68" i="32"/>
  <c r="I39" i="31"/>
  <c r="L39" i="31" s="1"/>
  <c r="J33" i="31" s="1"/>
  <c r="F52" i="31" s="1"/>
  <c r="G38" i="31"/>
  <c r="I40" i="31"/>
  <c r="L40" i="31" s="1"/>
  <c r="G41" i="31"/>
  <c r="G39" i="31"/>
  <c r="G40" i="31"/>
  <c r="I38" i="31"/>
  <c r="L38" i="31" s="1"/>
  <c r="I41" i="31"/>
  <c r="L41" i="31" s="1"/>
  <c r="A64" i="25" l="1" a="1"/>
  <c r="G41" i="40"/>
  <c r="G43" i="40"/>
  <c r="A72" i="25" a="1"/>
  <c r="D70" i="25"/>
  <c r="A65" i="25"/>
  <c r="C67" i="25"/>
  <c r="A68" i="25"/>
  <c r="C68" i="25"/>
  <c r="B70" i="25"/>
  <c r="A67" i="25"/>
  <c r="C69" i="25"/>
  <c r="A70" i="25"/>
  <c r="C70" i="25"/>
  <c r="A64" i="25"/>
  <c r="A69" i="25"/>
  <c r="D67" i="25"/>
  <c r="B65" i="25"/>
  <c r="B64" i="25"/>
  <c r="B67" i="25"/>
  <c r="B66" i="25"/>
  <c r="D64" i="25"/>
  <c r="C64" i="25"/>
  <c r="C65" i="25"/>
  <c r="A66" i="25"/>
  <c r="B69" i="25"/>
  <c r="D65" i="25"/>
  <c r="B68" i="25"/>
  <c r="D66" i="25"/>
  <c r="D68" i="25"/>
  <c r="D69" i="25"/>
  <c r="C66" i="25"/>
  <c r="U41" i="39"/>
  <c r="V41" i="39" s="1"/>
  <c r="V40" i="39" s="1"/>
  <c r="W40" i="39" s="1"/>
  <c r="W41" i="39" s="1"/>
  <c r="X41" i="39" s="1"/>
  <c r="X40" i="39" s="1"/>
  <c r="U50" i="39"/>
  <c r="V50" i="39" s="1"/>
  <c r="V49" i="39" s="1"/>
  <c r="W49" i="39" s="1"/>
  <c r="W50" i="39" s="1"/>
  <c r="X50" i="39" s="1"/>
  <c r="X49" i="39" s="1"/>
  <c r="U40" i="39"/>
  <c r="U49" i="39"/>
  <c r="G42" i="40"/>
  <c r="L32" i="39"/>
  <c r="G51" i="39" s="1"/>
  <c r="H32" i="39"/>
  <c r="E51" i="39" s="1"/>
  <c r="D32" i="39"/>
  <c r="C51" i="39" s="1"/>
  <c r="L27" i="39"/>
  <c r="G46" i="39" s="1"/>
  <c r="J32" i="39"/>
  <c r="F51" i="39" s="1"/>
  <c r="F27" i="39"/>
  <c r="D46" i="39" s="1"/>
  <c r="H27" i="39"/>
  <c r="E46" i="39" s="1"/>
  <c r="B27" i="39"/>
  <c r="B46" i="39" s="1"/>
  <c r="J27" i="39"/>
  <c r="F46" i="39" s="1"/>
  <c r="B32" i="39"/>
  <c r="B51" i="39" s="1"/>
  <c r="F32" i="39"/>
  <c r="D51" i="39" s="1"/>
  <c r="D27" i="39"/>
  <c r="C46" i="39" s="1"/>
  <c r="O32" i="39"/>
  <c r="J51" i="39" s="1"/>
  <c r="L51" i="39" s="1"/>
  <c r="O27" i="39"/>
  <c r="J46" i="39" s="1"/>
  <c r="L46" i="39" s="1"/>
  <c r="G42" i="26"/>
  <c r="J40" i="31"/>
  <c r="M40" i="31" s="1"/>
  <c r="R28" i="11"/>
  <c r="L40" i="11"/>
  <c r="H40" i="11"/>
  <c r="L46" i="11"/>
  <c r="H46" i="11"/>
  <c r="D40" i="11"/>
  <c r="B46" i="11"/>
  <c r="B40" i="11"/>
  <c r="F40" i="11"/>
  <c r="D46" i="11"/>
  <c r="J46" i="11"/>
  <c r="F46" i="11"/>
  <c r="J40" i="11"/>
  <c r="O40" i="11"/>
  <c r="O46" i="11"/>
  <c r="L48" i="11"/>
  <c r="L42" i="11"/>
  <c r="H48" i="11"/>
  <c r="H42" i="11"/>
  <c r="D42" i="11"/>
  <c r="D48" i="11"/>
  <c r="J48" i="11"/>
  <c r="J42" i="11"/>
  <c r="F48" i="11"/>
  <c r="B42" i="11"/>
  <c r="F42" i="11"/>
  <c r="B48" i="11"/>
  <c r="O48" i="11"/>
  <c r="O42" i="11"/>
  <c r="R26" i="11"/>
  <c r="H41" i="11"/>
  <c r="L47" i="11"/>
  <c r="H47" i="11"/>
  <c r="L41" i="11"/>
  <c r="F41" i="11"/>
  <c r="J47" i="11"/>
  <c r="B47" i="11"/>
  <c r="B41" i="11"/>
  <c r="D41" i="11"/>
  <c r="D47" i="11"/>
  <c r="J41" i="11"/>
  <c r="F47" i="11"/>
  <c r="O47" i="11"/>
  <c r="O41" i="11"/>
  <c r="L28" i="31"/>
  <c r="G47" i="31" s="1"/>
  <c r="H33" i="31"/>
  <c r="E52" i="31" s="1"/>
  <c r="F33" i="31"/>
  <c r="D52" i="31" s="1"/>
  <c r="F28" i="31"/>
  <c r="D47" i="31" s="1"/>
  <c r="H28" i="31"/>
  <c r="E47" i="31" s="1"/>
  <c r="J39" i="31"/>
  <c r="M39" i="31" s="1"/>
  <c r="D28" i="31"/>
  <c r="C47" i="31" s="1"/>
  <c r="D33" i="31"/>
  <c r="C52" i="31" s="1"/>
  <c r="L33" i="31"/>
  <c r="G52" i="31" s="1"/>
  <c r="B28" i="31"/>
  <c r="B47" i="31" s="1"/>
  <c r="J28" i="31"/>
  <c r="F47" i="31" s="1"/>
  <c r="O33" i="31"/>
  <c r="J52" i="31" s="1"/>
  <c r="B33" i="31"/>
  <c r="B52" i="31" s="1"/>
  <c r="O28" i="31"/>
  <c r="J47" i="31" s="1"/>
  <c r="J41" i="31"/>
  <c r="M41" i="31" s="1"/>
  <c r="J38" i="31"/>
  <c r="M38" i="31" s="1"/>
  <c r="H26" i="31"/>
  <c r="E45" i="31" s="1"/>
  <c r="L31" i="31"/>
  <c r="G50" i="31" s="1"/>
  <c r="L26" i="31"/>
  <c r="G45" i="31" s="1"/>
  <c r="H31" i="31"/>
  <c r="E50" i="31" s="1"/>
  <c r="J26" i="31"/>
  <c r="F45" i="31" s="1"/>
  <c r="D26" i="31"/>
  <c r="C45" i="31" s="1"/>
  <c r="F31" i="31"/>
  <c r="D50" i="31" s="1"/>
  <c r="B31" i="31"/>
  <c r="B50" i="31" s="1"/>
  <c r="D31" i="31"/>
  <c r="C50" i="31" s="1"/>
  <c r="J31" i="31"/>
  <c r="F50" i="31" s="1"/>
  <c r="B26" i="31"/>
  <c r="B45" i="31" s="1"/>
  <c r="F26" i="31"/>
  <c r="D45" i="31" s="1"/>
  <c r="O26" i="31"/>
  <c r="J45" i="31" s="1"/>
  <c r="O31" i="31"/>
  <c r="J50" i="31" s="1"/>
  <c r="A64" i="39" l="1" a="1"/>
  <c r="D69" i="39" s="1"/>
  <c r="C64" i="39"/>
  <c r="A64" i="39"/>
  <c r="B67" i="39"/>
  <c r="D70" i="39"/>
  <c r="B70" i="39"/>
  <c r="D67" i="39"/>
  <c r="D65" i="39"/>
  <c r="D64" i="39"/>
  <c r="B64" i="39"/>
  <c r="C69" i="39"/>
  <c r="C70" i="39"/>
  <c r="C65" i="39"/>
  <c r="C66" i="39"/>
  <c r="A66" i="39"/>
  <c r="B69" i="39"/>
  <c r="A72" i="39" a="1"/>
  <c r="B78" i="25"/>
  <c r="D78" i="25"/>
  <c r="D73" i="25"/>
  <c r="D74" i="25"/>
  <c r="B77" i="25"/>
  <c r="C72" i="25"/>
  <c r="D75" i="25"/>
  <c r="A72" i="25"/>
  <c r="B72" i="25"/>
  <c r="C74" i="25"/>
  <c r="C73" i="25"/>
  <c r="D77" i="25"/>
  <c r="A74" i="25"/>
  <c r="B74" i="25"/>
  <c r="B75" i="25"/>
  <c r="D76" i="25"/>
  <c r="C76" i="25"/>
  <c r="A73" i="25"/>
  <c r="C75" i="25"/>
  <c r="A76" i="25"/>
  <c r="B76" i="25"/>
  <c r="C78" i="25"/>
  <c r="A75" i="25"/>
  <c r="C77" i="25"/>
  <c r="A78" i="25"/>
  <c r="D72" i="25"/>
  <c r="A77" i="25"/>
  <c r="B73" i="25"/>
  <c r="H32" i="31"/>
  <c r="E51" i="31" s="1"/>
  <c r="H27" i="31"/>
  <c r="E46" i="31" s="1"/>
  <c r="L27" i="31"/>
  <c r="G46" i="31" s="1"/>
  <c r="L32" i="31"/>
  <c r="G51" i="31" s="1"/>
  <c r="J32" i="31"/>
  <c r="F51" i="31" s="1"/>
  <c r="J27" i="31"/>
  <c r="F46" i="31" s="1"/>
  <c r="B32" i="31"/>
  <c r="B51" i="31" s="1"/>
  <c r="B27" i="31"/>
  <c r="B46" i="31" s="1"/>
  <c r="D32" i="31"/>
  <c r="C51" i="31" s="1"/>
  <c r="D27" i="31"/>
  <c r="C46" i="31" s="1"/>
  <c r="F32" i="31"/>
  <c r="D51" i="31" s="1"/>
  <c r="F27" i="31"/>
  <c r="D46" i="31" s="1"/>
  <c r="O32" i="31"/>
  <c r="J51" i="31" s="1"/>
  <c r="L51" i="31" s="1"/>
  <c r="O27" i="31"/>
  <c r="J46" i="31" s="1"/>
  <c r="L46" i="31" s="1"/>
  <c r="U50" i="31"/>
  <c r="V50" i="31" s="1"/>
  <c r="V49" i="31" s="1"/>
  <c r="W49" i="31" s="1"/>
  <c r="W50" i="31" s="1"/>
  <c r="X50" i="31" s="1"/>
  <c r="X49" i="31" s="1"/>
  <c r="U40" i="31"/>
  <c r="U41" i="31"/>
  <c r="V41" i="31" s="1"/>
  <c r="V40" i="31" s="1"/>
  <c r="W40" i="31" s="1"/>
  <c r="W41" i="31" s="1"/>
  <c r="X41" i="31" s="1"/>
  <c r="X40" i="31" s="1"/>
  <c r="U49" i="31"/>
  <c r="A67" i="39" l="1"/>
  <c r="D66" i="39"/>
  <c r="A65" i="39"/>
  <c r="A68" i="39"/>
  <c r="B68" i="39"/>
  <c r="C68" i="39"/>
  <c r="D68" i="39"/>
  <c r="A69" i="39"/>
  <c r="B66" i="39"/>
  <c r="C67" i="39"/>
  <c r="B65" i="39"/>
  <c r="A70" i="39"/>
  <c r="D72" i="39"/>
  <c r="A75" i="39"/>
  <c r="C75" i="39"/>
  <c r="B76" i="39"/>
  <c r="C74" i="39"/>
  <c r="D78" i="39"/>
  <c r="B72" i="39"/>
  <c r="D75" i="39"/>
  <c r="A72" i="39"/>
  <c r="A76" i="39"/>
  <c r="A77" i="39"/>
  <c r="C73" i="39"/>
  <c r="B78" i="39"/>
  <c r="C76" i="39"/>
  <c r="C77" i="39"/>
  <c r="D76" i="39"/>
  <c r="D77" i="39"/>
  <c r="B75" i="39"/>
  <c r="A73" i="39"/>
  <c r="A74" i="39"/>
  <c r="B73" i="39"/>
  <c r="B74" i="39"/>
  <c r="C72" i="39"/>
  <c r="B77" i="39"/>
  <c r="C78" i="39"/>
  <c r="D73" i="39"/>
  <c r="A78" i="39"/>
  <c r="D74" i="39"/>
  <c r="A64" i="31" a="1"/>
  <c r="B68" i="31" s="1"/>
  <c r="A72" i="31" a="1"/>
  <c r="C76" i="31" s="1"/>
  <c r="C65" i="31" l="1"/>
  <c r="A68" i="31"/>
  <c r="B64" i="31"/>
  <c r="D64" i="31"/>
  <c r="B67" i="31"/>
  <c r="D68" i="31"/>
  <c r="A67" i="31"/>
  <c r="C69" i="31"/>
  <c r="D70" i="31"/>
  <c r="A64" i="31"/>
  <c r="A65" i="31"/>
  <c r="A69" i="31"/>
  <c r="B66" i="31"/>
  <c r="B65" i="31"/>
  <c r="B69" i="31"/>
  <c r="C67" i="31"/>
  <c r="D66" i="31"/>
  <c r="D69" i="31"/>
  <c r="A66" i="31"/>
  <c r="A70" i="31"/>
  <c r="D67" i="31"/>
  <c r="C64" i="31"/>
  <c r="C68" i="31"/>
  <c r="D65" i="31"/>
  <c r="B70" i="31"/>
  <c r="C66" i="31"/>
  <c r="C70" i="31"/>
  <c r="A73" i="31"/>
  <c r="D75" i="31"/>
  <c r="A76" i="31"/>
  <c r="C74" i="31"/>
  <c r="C78" i="31"/>
  <c r="D76" i="31"/>
  <c r="B75" i="31"/>
  <c r="D78" i="31"/>
  <c r="A75" i="31"/>
  <c r="B73" i="31"/>
  <c r="A77" i="31"/>
  <c r="B76" i="31"/>
  <c r="A72" i="31"/>
  <c r="D77" i="31"/>
  <c r="A74" i="31"/>
  <c r="B72" i="31"/>
  <c r="D73" i="31"/>
  <c r="D74" i="31"/>
  <c r="A78" i="31"/>
  <c r="B74" i="31"/>
  <c r="B78" i="31"/>
  <c r="C77" i="31"/>
  <c r="C73" i="31"/>
  <c r="D72" i="31"/>
  <c r="C75" i="31"/>
  <c r="B77" i="31"/>
  <c r="C72" i="3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<sst xmlns="http://schemas.openxmlformats.org/spreadsheetml/2006/main" count="2587" uniqueCount="228">
  <si>
    <t>1-2 mm</t>
  </si>
  <si>
    <t>2-2.8 mm</t>
  </si>
  <si>
    <t>2.8 - 4mm</t>
  </si>
  <si>
    <t>4- 5.6 mm</t>
  </si>
  <si>
    <t>5.6-8mm</t>
  </si>
  <si>
    <t>8-11.2mm</t>
  </si>
  <si>
    <t>A</t>
  </si>
  <si>
    <t>B</t>
  </si>
  <si>
    <t>C</t>
  </si>
  <si>
    <t>D</t>
  </si>
  <si>
    <t>E</t>
  </si>
  <si>
    <t>F</t>
  </si>
  <si>
    <t>Non-conductive</t>
  </si>
  <si>
    <t>LOD</t>
  </si>
  <si>
    <t>L</t>
  </si>
  <si>
    <t>P</t>
  </si>
  <si>
    <t>S</t>
  </si>
  <si>
    <t>Magnetic</t>
  </si>
  <si>
    <t>Non-magnetic</t>
  </si>
  <si>
    <t>Total</t>
  </si>
  <si>
    <t>Conductive</t>
  </si>
  <si>
    <t>Changed no. to 0 because it's LOD</t>
  </si>
  <si>
    <t>1-2mm</t>
  </si>
  <si>
    <t>2-2.8mm</t>
  </si>
  <si>
    <t>2.8-4mm</t>
  </si>
  <si>
    <t>4-5.6mm</t>
  </si>
  <si>
    <t>Average</t>
  </si>
  <si>
    <t>STDEV.P</t>
  </si>
  <si>
    <t>&gt;Size (mm)</t>
  </si>
  <si>
    <t>Amount (g)</t>
  </si>
  <si>
    <t>% of solids</t>
  </si>
  <si>
    <t>Cumulative Mass (%)</t>
  </si>
  <si>
    <t>Unliberated material (% from averages)</t>
  </si>
  <si>
    <t>Degree of Liberation</t>
  </si>
  <si>
    <t>% of cell</t>
  </si>
  <si>
    <t>TOTAL</t>
  </si>
  <si>
    <t>Mean</t>
  </si>
  <si>
    <t>%</t>
  </si>
  <si>
    <t>(STDEV/Mean)^2</t>
  </si>
  <si>
    <t>Mean*SQRT(SUM)</t>
  </si>
  <si>
    <t>RSD</t>
  </si>
  <si>
    <t>% Relative Uncertainty</t>
  </si>
  <si>
    <t>^2</t>
  </si>
  <si>
    <t>Sum</t>
  </si>
  <si>
    <t>Sqrt</t>
  </si>
  <si>
    <t>Cathode</t>
  </si>
  <si>
    <t>Anode</t>
  </si>
  <si>
    <t>Pouch</t>
  </si>
  <si>
    <t>Separator</t>
  </si>
  <si>
    <t>Electrolyte</t>
  </si>
  <si>
    <t>Without Electrolyte</t>
  </si>
  <si>
    <t>Whole</t>
  </si>
  <si>
    <t>Percentage (%)</t>
  </si>
  <si>
    <t>Taking the averages and reflecting the true value in the sized fractions</t>
  </si>
  <si>
    <t>Sum of % in each row</t>
  </si>
  <si>
    <t>STDEV</t>
  </si>
  <si>
    <t>Σ CAPS</t>
  </si>
  <si>
    <t>Fraction</t>
  </si>
  <si>
    <t>± %</t>
  </si>
  <si>
    <t>Without Electolyte</t>
  </si>
  <si>
    <t>Totals Optically Sorted</t>
  </si>
  <si>
    <t>Sorted SQRT(SUMSQ(STDEV)</t>
  </si>
  <si>
    <t>[Teardown]-[Optically sorted]</t>
  </si>
  <si>
    <t>±</t>
  </si>
  <si>
    <t>[Dry Teardown]-[Optically Sorted]</t>
  </si>
  <si>
    <t>K26 =</t>
  </si>
  <si>
    <t>(E26/$E$34)</t>
  </si>
  <si>
    <t>*100</t>
  </si>
  <si>
    <t>-F26</t>
  </si>
  <si>
    <t>Σ Lumps</t>
  </si>
  <si>
    <t>&gt;11.2 mm</t>
  </si>
  <si>
    <t>&lt;1 mm</t>
  </si>
  <si>
    <t>Σ Uncharacterised</t>
  </si>
  <si>
    <t>Σ CAPS + Σ Uncharacterised</t>
  </si>
  <si>
    <t>1-11.2 mm</t>
  </si>
  <si>
    <t>Grade</t>
  </si>
  <si>
    <r>
      <t xml:space="preserve">Assuming ratios of C/A/P/S in "Lumps" is directly proportional to </t>
    </r>
    <r>
      <rPr>
        <sz val="11"/>
        <color rgb="FFFF0000"/>
        <rFont val="Calibri"/>
        <family val="2"/>
        <scheme val="minor"/>
      </rPr>
      <t>unaccounted material</t>
    </r>
  </si>
  <si>
    <t>Insulators</t>
  </si>
  <si>
    <t>Recovery</t>
  </si>
  <si>
    <t>B12/(B5+B12+B18+(B7+B14+B20)*$L$38)</t>
  </si>
  <si>
    <t>Ignoring Lumps</t>
  </si>
  <si>
    <t>B12+B5+B18</t>
  </si>
  <si>
    <t>B12</t>
  </si>
  <si>
    <t>B12/(B12+B5+B18)</t>
  </si>
  <si>
    <t>abs</t>
  </si>
  <si>
    <t>Simplified Error</t>
  </si>
  <si>
    <t>% cell</t>
  </si>
  <si>
    <t>% dry components</t>
  </si>
  <si>
    <t>Cell Ratio</t>
  </si>
  <si>
    <t>Dry Ratio</t>
  </si>
  <si>
    <t>rel</t>
  </si>
  <si>
    <t>B7+B14+B20</t>
  </si>
  <si>
    <t>L38</t>
  </si>
  <si>
    <t>L38(B7+B14+B20)</t>
  </si>
  <si>
    <t>(B5+B12+B18+(B7+B14+B20)*$L$38)</t>
  </si>
  <si>
    <t>"Detailed" error</t>
  </si>
  <si>
    <t>L12+L5+L18</t>
  </si>
  <si>
    <t>L12</t>
  </si>
  <si>
    <t>L12/(L12+L5+L18)</t>
  </si>
  <si>
    <t>L7+L14+L20</t>
  </si>
  <si>
    <t>L38(L7+L14+L20)</t>
  </si>
  <si>
    <t>(L5+L12+L18+(L7+L14+L20)*$L$38)</t>
  </si>
  <si>
    <t>L12/(L5+L12+L18+(L7+L14+L20)*$L$38)</t>
  </si>
  <si>
    <t>8-11.2mm Recovery</t>
  </si>
  <si>
    <t>Simplified L31</t>
  </si>
  <si>
    <t>L9+L8</t>
  </si>
  <si>
    <t>(L8+L9+L15+L16+L21+L22)</t>
  </si>
  <si>
    <t>numerator</t>
  </si>
  <si>
    <t>denominator</t>
  </si>
  <si>
    <t>Error shown ignores Lumps</t>
  </si>
  <si>
    <r>
      <t xml:space="preserve">Grade, Assuming ratios of C/A/P/S in "Lumps" is directly proportional to </t>
    </r>
    <r>
      <rPr>
        <sz val="11"/>
        <color rgb="FFFF0000"/>
        <rFont val="Calibri"/>
        <family val="2"/>
        <scheme val="minor"/>
      </rPr>
      <t>unaccounted material</t>
    </r>
  </si>
  <si>
    <t>Grade 1-11.2</t>
  </si>
  <si>
    <t>Grade &lt;1,&gt;11.2</t>
  </si>
  <si>
    <t>Grade Total</t>
  </si>
  <si>
    <r>
      <t xml:space="preserve">Recovery, Assuming ratios of C/A/P/S in "Lumps" is directly proportional to </t>
    </r>
    <r>
      <rPr>
        <sz val="11"/>
        <color rgb="FFFF0000"/>
        <rFont val="Calibri"/>
        <family val="2"/>
        <scheme val="minor"/>
      </rPr>
      <t>unaccounted material</t>
    </r>
  </si>
  <si>
    <t>Recovery 1-11.2</t>
  </si>
  <si>
    <t>Recovery All sizes</t>
  </si>
  <si>
    <t>Grade_Error</t>
  </si>
  <si>
    <t>Recovery_Error</t>
  </si>
  <si>
    <t>[Teardown inc.electrolyte]-[Optically sorted]</t>
  </si>
  <si>
    <t>Σ CALPS</t>
  </si>
  <si>
    <t>Lumps Content</t>
  </si>
  <si>
    <t>All Sizes</t>
  </si>
  <si>
    <t>Sorted as % of Dry Cell</t>
  </si>
  <si>
    <t>Precision(dp)</t>
  </si>
  <si>
    <t>Component</t>
  </si>
  <si>
    <t>1800x600, Flow&gt;Target, Label&gt;12 Before, Label Suffix&gt;%, Scale&gt; 0.3402%</t>
  </si>
  <si>
    <t>Activity</t>
  </si>
  <si>
    <t>//</t>
  </si>
  <si>
    <t>Start</t>
  </si>
  <si>
    <t xml:space="preserve">%Branch to </t>
  </si>
  <si>
    <t>Branch to</t>
  </si>
  <si>
    <t>Colour</t>
  </si>
  <si>
    <t>[</t>
  </si>
  <si>
    <t>]</t>
  </si>
  <si>
    <t>Size Greater than (mm)</t>
  </si>
  <si>
    <t>wt%</t>
  </si>
  <si>
    <t>Whole Cell</t>
  </si>
  <si>
    <t>#FF0000</t>
  </si>
  <si>
    <t>#00477D</t>
  </si>
  <si>
    <t>#000000</t>
  </si>
  <si>
    <t>#D4DBE1</t>
  </si>
  <si>
    <t>#E0A8A8</t>
  </si>
  <si>
    <t>Shredding</t>
  </si>
  <si>
    <t>Shredded Cell</t>
  </si>
  <si>
    <t>Drying</t>
  </si>
  <si>
    <t>Dry Cell Pieces</t>
  </si>
  <si>
    <t>Electrolyte out</t>
  </si>
  <si>
    <t>Sieving</t>
  </si>
  <si>
    <t>1-11.2mm dry cell pieces</t>
  </si>
  <si>
    <t>&lt;1mm pieces</t>
  </si>
  <si>
    <t>&gt;11.2mm pieces</t>
  </si>
  <si>
    <t>Conductors</t>
  </si>
  <si>
    <t>#AFC2D0</t>
  </si>
  <si>
    <t>ESS</t>
  </si>
  <si>
    <t>Lumps</t>
  </si>
  <si>
    <t>Magsep</t>
  </si>
  <si>
    <t>Non-Magnetic</t>
  </si>
  <si>
    <t>:</t>
  </si>
  <si>
    <t>Optical Sorting</t>
  </si>
  <si>
    <t>Cathode-m</t>
  </si>
  <si>
    <t>Anode-m</t>
  </si>
  <si>
    <t xml:space="preserve">Pouch </t>
  </si>
  <si>
    <t>Unliberated-m</t>
  </si>
  <si>
    <t>Pouch-m</t>
  </si>
  <si>
    <t>Separator-m</t>
  </si>
  <si>
    <t>Teardown</t>
  </si>
  <si>
    <t>fraction</t>
  </si>
  <si>
    <t>Dry Components</t>
  </si>
  <si>
    <t>Wet cell as % of dry components</t>
  </si>
  <si>
    <t>#AF9191</t>
  </si>
  <si>
    <t>Cathode-n</t>
  </si>
  <si>
    <t>Anode-n</t>
  </si>
  <si>
    <t>#D3D4D8</t>
  </si>
  <si>
    <t>Unliberated-n</t>
  </si>
  <si>
    <t>Pouch-n</t>
  </si>
  <si>
    <t>Separator-n</t>
  </si>
  <si>
    <t>#BAC0C6</t>
  </si>
  <si>
    <t>Cathode-i</t>
  </si>
  <si>
    <t>Anode-i</t>
  </si>
  <si>
    <t>Unliberated-i</t>
  </si>
  <si>
    <t>#E94747</t>
  </si>
  <si>
    <t>Material which reported to Undersize, Oversize, and lumps (g)</t>
  </si>
  <si>
    <t>Assumed Composition of lumps, based on material missing from tweezing (%)</t>
  </si>
  <si>
    <t>Assumed % of Fines, Coarse and Lumps</t>
  </si>
  <si>
    <t>Pouch-i</t>
  </si>
  <si>
    <t>#387DB2</t>
  </si>
  <si>
    <t>Separator-i</t>
  </si>
  <si>
    <t>Cathode-final</t>
  </si>
  <si>
    <t>#B30000</t>
  </si>
  <si>
    <t>Anode-final</t>
  </si>
  <si>
    <t>#FF8080</t>
  </si>
  <si>
    <t>#AF5454</t>
  </si>
  <si>
    <t>#003F6F</t>
  </si>
  <si>
    <t>#78AAD0</t>
  </si>
  <si>
    <t>Pouch-final</t>
  </si>
  <si>
    <t>#94A3AE</t>
  </si>
  <si>
    <t>Forbidden Black</t>
  </si>
  <si>
    <t>Separator-final</t>
  </si>
  <si>
    <t>Component as wt% of dry cell</t>
  </si>
  <si>
    <t>NC: C</t>
  </si>
  <si>
    <t>NC: A</t>
  </si>
  <si>
    <t>NC: L</t>
  </si>
  <si>
    <t>NC: P</t>
  </si>
  <si>
    <t>NC: S</t>
  </si>
  <si>
    <t>M: C</t>
  </si>
  <si>
    <t>M: A</t>
  </si>
  <si>
    <t>M: L</t>
  </si>
  <si>
    <t>M: P</t>
  </si>
  <si>
    <t>M: S</t>
  </si>
  <si>
    <t>NM: C</t>
  </si>
  <si>
    <t>NM: A</t>
  </si>
  <si>
    <t>NM: L</t>
  </si>
  <si>
    <t>NM: P</t>
  </si>
  <si>
    <t>NM: S</t>
  </si>
  <si>
    <t>% of analysed Size</t>
  </si>
  <si>
    <t>% of wet cell</t>
  </si>
  <si>
    <t>&gt; 11.2 mm</t>
  </si>
  <si>
    <t>&lt; 1 mm</t>
  </si>
  <si>
    <t>8-11.2</t>
  </si>
  <si>
    <t>5.6-8</t>
  </si>
  <si>
    <t>4-5.6</t>
  </si>
  <si>
    <t>2.8-4</t>
  </si>
  <si>
    <t>2-2.8</t>
  </si>
  <si>
    <t>1-2</t>
  </si>
  <si>
    <t>+/- %</t>
  </si>
  <si>
    <t>Teardown %</t>
  </si>
  <si>
    <t>Size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</si>
</sst>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00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477D"/>
        <bgColor indexed="64"/>
      </patternFill>
    </fill>
    <fill>
      <patternFill patternType="solid">
        <fgColor rgb="FF387DB2"/>
        <bgColor indexed="64"/>
      </patternFill>
    </fill>
    <fill>
      <patternFill patternType="solid">
        <fgColor rgb="FFAFC2D0"/>
        <bgColor indexed="64"/>
      </patternFill>
    </fill>
    <fill>
      <patternFill patternType="solid">
        <fgColor rgb="FF78AAD0"/>
        <bgColor indexed="64"/>
      </patternFill>
    </fill>
    <fill>
      <patternFill patternType="solid">
        <fgColor rgb="FF003F6F"/>
        <bgColor indexed="64"/>
      </patternFill>
    </fill>
    <fill>
      <patternFill patternType="solid">
        <fgColor rgb="FFBAC0C6"/>
        <bgColor indexed="64"/>
      </patternFill>
    </fill>
    <fill>
      <patternFill patternType="solid">
        <fgColor rgb="FFD3D4D8"/>
        <bgColor indexed="64"/>
      </patternFill>
    </fill>
    <fill>
      <patternFill patternType="solid">
        <fgColor rgb="FF94A3AE"/>
        <bgColor indexed="64"/>
      </patternFill>
    </fill>
    <fill>
      <patternFill patternType="solid">
        <fgColor rgb="FFD4DBE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E0A8A8"/>
        <bgColor indexed="64"/>
      </patternFill>
    </fill>
    <fill>
      <patternFill patternType="solid">
        <fgColor rgb="FFAF5454"/>
        <bgColor indexed="64"/>
      </patternFill>
    </fill>
    <fill>
      <patternFill patternType="solid">
        <fgColor rgb="FFB30000"/>
        <bgColor indexed="64"/>
      </patternFill>
    </fill>
    <fill>
      <patternFill patternType="solid">
        <fgColor rgb="FFE94747"/>
        <bgColor indexed="64"/>
      </patternFill>
    </fill>
    <fill>
      <patternFill patternType="solid">
        <fgColor rgb="FFAF9191"/>
        <bgColor indexed="64"/>
      </patternFill>
    </fill>
    <fill>
      <patternFill patternType="solid">
        <fgColor rgb="FF0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5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1" fillId="2" borderId="5" xfId="1" applyBorder="1"/>
    <xf numFmtId="0" fontId="1" fillId="2" borderId="2" xfId="1" applyBorder="1"/>
    <xf numFmtId="0" fontId="2" fillId="3" borderId="0" xfId="2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2" fontId="0" fillId="0" borderId="0" xfId="0" applyNumberFormat="1"/>
    <xf numFmtId="2" fontId="0" fillId="6" borderId="0" xfId="0" applyNumberFormat="1" applyFill="1"/>
    <xf numFmtId="2" fontId="0" fillId="5" borderId="0" xfId="0" applyNumberFormat="1" applyFill="1"/>
    <xf numFmtId="2" fontId="0" fillId="7" borderId="0" xfId="0" applyNumberFormat="1" applyFill="1"/>
    <xf numFmtId="0" fontId="0" fillId="7" borderId="0" xfId="0" applyFill="1"/>
    <xf numFmtId="2" fontId="0" fillId="4" borderId="0" xfId="0" applyNumberFormat="1" applyFill="1"/>
    <xf numFmtId="0" fontId="0" fillId="8" borderId="2" xfId="0" applyFill="1" applyBorder="1"/>
    <xf numFmtId="2" fontId="0" fillId="8" borderId="0" xfId="0" applyNumberFormat="1" applyFill="1"/>
    <xf numFmtId="0" fontId="0" fillId="8" borderId="0" xfId="0" applyFill="1"/>
    <xf numFmtId="2" fontId="1" fillId="2" borderId="0" xfId="1" applyNumberFormat="1" applyBorder="1"/>
    <xf numFmtId="164" fontId="0" fillId="0" borderId="0" xfId="0" applyNumberFormat="1"/>
    <xf numFmtId="0" fontId="4" fillId="0" borderId="0" xfId="0" applyFont="1"/>
    <xf numFmtId="10" fontId="0" fillId="0" borderId="0" xfId="3" quotePrefix="1" applyNumberFormat="1" applyFont="1"/>
    <xf numFmtId="0" fontId="0" fillId="9" borderId="0" xfId="0" applyFill="1"/>
    <xf numFmtId="165" fontId="0" fillId="0" borderId="0" xfId="0" applyNumberFormat="1"/>
    <xf numFmtId="2" fontId="0" fillId="10" borderId="7" xfId="0" applyNumberFormat="1" applyFill="1" applyBorder="1"/>
    <xf numFmtId="0" fontId="0" fillId="10" borderId="7" xfId="0" applyFill="1" applyBorder="1"/>
    <xf numFmtId="2" fontId="0" fillId="11" borderId="8" xfId="0" applyNumberFormat="1" applyFill="1" applyBorder="1"/>
    <xf numFmtId="2" fontId="0" fillId="12" borderId="0" xfId="0" applyNumberFormat="1" applyFill="1"/>
    <xf numFmtId="2" fontId="0" fillId="11" borderId="10" xfId="0" applyNumberFormat="1" applyFill="1" applyBorder="1"/>
    <xf numFmtId="165" fontId="0" fillId="12" borderId="9" xfId="0" applyNumberFormat="1" applyFill="1" applyBorder="1"/>
    <xf numFmtId="2" fontId="0" fillId="12" borderId="9" xfId="0" applyNumberFormat="1" applyFill="1" applyBorder="1"/>
    <xf numFmtId="0" fontId="0" fillId="12" borderId="0" xfId="0" applyFill="1"/>
    <xf numFmtId="166" fontId="0" fillId="12" borderId="9" xfId="0" applyNumberFormat="1" applyFill="1" applyBorder="1"/>
    <xf numFmtId="167" fontId="0" fillId="0" borderId="0" xfId="0" applyNumberFormat="1"/>
    <xf numFmtId="0" fontId="0" fillId="0" borderId="11" xfId="0" applyBorder="1"/>
    <xf numFmtId="0" fontId="6" fillId="0" borderId="0" xfId="0" applyFont="1"/>
    <xf numFmtId="0" fontId="0" fillId="13" borderId="0" xfId="0" applyFill="1"/>
    <xf numFmtId="0" fontId="0" fillId="0" borderId="0" xfId="0" quotePrefix="1"/>
    <xf numFmtId="0" fontId="0" fillId="0" borderId="0" xfId="0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6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2" xfId="0" applyFont="1" applyBorder="1"/>
    <xf numFmtId="2" fontId="4" fillId="0" borderId="6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" fontId="0" fillId="0" borderId="0" xfId="0" applyNumberFormat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164" fontId="4" fillId="0" borderId="0" xfId="0" applyNumberFormat="1" applyFont="1"/>
    <xf numFmtId="0" fontId="3" fillId="30" borderId="0" xfId="0" applyFont="1" applyFill="1"/>
    <xf numFmtId="9" fontId="0" fillId="0" borderId="0" xfId="3" applyFont="1"/>
    <xf numFmtId="0" fontId="0" fillId="0" borderId="14" xfId="0" applyBorder="1"/>
    <xf numFmtId="2" fontId="0" fillId="0" borderId="15" xfId="0" applyNumberFormat="1" applyBorder="1"/>
    <xf numFmtId="0" fontId="0" fillId="0" borderId="15" xfId="0" applyBorder="1"/>
    <xf numFmtId="164" fontId="0" fillId="0" borderId="15" xfId="0" applyNumberFormat="1" applyBorder="1"/>
    <xf numFmtId="0" fontId="0" fillId="9" borderId="16" xfId="0" applyFill="1" applyBorder="1"/>
    <xf numFmtId="0" fontId="0" fillId="0" borderId="17" xfId="0" applyBorder="1"/>
    <xf numFmtId="0" fontId="0" fillId="15" borderId="18" xfId="0" applyFill="1" applyBorder="1"/>
    <xf numFmtId="0" fontId="3" fillId="30" borderId="18" xfId="0" applyFont="1" applyFill="1" applyBorder="1"/>
    <xf numFmtId="0" fontId="0" fillId="23" borderId="18" xfId="0" applyFill="1" applyBorder="1"/>
    <xf numFmtId="0" fontId="0" fillId="25" borderId="18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3" borderId="20" xfId="0" applyFill="1" applyBorder="1"/>
    <xf numFmtId="0" fontId="0" fillId="0" borderId="21" xfId="0" applyBorder="1"/>
    <xf numFmtId="9" fontId="0" fillId="0" borderId="0" xfId="0" applyNumberFormat="1"/>
    <xf numFmtId="16" fontId="0" fillId="0" borderId="0" xfId="0" quotePrefix="1" applyNumberFormat="1"/>
    <xf numFmtId="0" fontId="10" fillId="0" borderId="0" xfId="0" applyFont="1"/>
    <xf numFmtId="0" fontId="0" fillId="0" borderId="0" xfId="0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4">
    <cellStyle name="Bad" xfId="1" builtinId="27"/>
    <cellStyle name="Good" xfId="2" builtinId="26"/>
    <cellStyle name="Normal" xfId="0" builtinId="0"/>
    <cellStyle name="Per cent" xfId="3" builtinId="5"/>
  </cellStyles>
  <dxfs count="0"/>
  <tableStyles count="0" defaultTableStyle="TableStyleMedium2" defaultPivotStyle="PivotStyleLight16"/>
  <colors>
    <mruColors>
      <color rgb="FF029356"/>
      <color rgb="FFCFEBB6"/>
      <color rgb="FF5928ED"/>
      <color rgb="FF2546F0"/>
      <color rgb="FFB51963"/>
      <color rgb="FFE6308A"/>
      <color rgb="FF0073E6"/>
      <color rgb="FF89CE00"/>
      <color rgb="FF5BA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24D7-763B-40D1-B56E-7D39EFC2B2A1}">
  <sheetPr codeName="Sheet2"/>
  <dimension ref="A1:Y28"/>
  <sheetViews>
    <sheetView workbookViewId="0"/>
  </sheetViews>
  <sheetFormatPr defaultRowHeight="15" x14ac:dyDescent="0.25"/>
  <cols>
    <col min="1" max="1" width="14.140625" style="2" bestFit="1" customWidth="1"/>
    <col min="5" max="5" width="8.85546875" style="2"/>
    <col min="9" max="9" width="8.85546875" style="2"/>
    <col min="13" max="13" width="8.85546875" style="2"/>
    <col min="17" max="17" width="8.85546875" style="2"/>
    <col min="21" max="21" width="8.85546875" style="2"/>
    <col min="25" max="25" width="8.85546875" style="2"/>
  </cols>
  <sheetData>
    <row r="1" spans="1:25" x14ac:dyDescent="0.25">
      <c r="B1" s="98" t="s">
        <v>0</v>
      </c>
      <c r="C1" s="98"/>
      <c r="D1" s="98"/>
      <c r="E1" s="98"/>
      <c r="F1" s="98" t="s">
        <v>1</v>
      </c>
      <c r="G1" s="98"/>
      <c r="H1" s="98"/>
      <c r="I1" s="98"/>
      <c r="J1" s="98" t="s">
        <v>2</v>
      </c>
      <c r="K1" s="98"/>
      <c r="L1" s="98"/>
      <c r="M1" s="98"/>
      <c r="N1" s="98" t="s">
        <v>3</v>
      </c>
      <c r="O1" s="98"/>
      <c r="P1" s="98"/>
      <c r="Q1" s="98"/>
      <c r="R1" s="98" t="s">
        <v>4</v>
      </c>
      <c r="S1" s="98"/>
      <c r="T1" s="98"/>
      <c r="U1" s="98"/>
      <c r="V1" s="98" t="s">
        <v>5</v>
      </c>
      <c r="W1" s="98"/>
      <c r="X1" s="98"/>
      <c r="Y1" s="98"/>
    </row>
    <row r="2" spans="1:25" s="5" customFormat="1" x14ac:dyDescent="0.25">
      <c r="A2" s="4"/>
      <c r="B2" s="5" t="s">
        <v>6</v>
      </c>
      <c r="C2" s="5" t="s">
        <v>7</v>
      </c>
      <c r="D2" s="5" t="s">
        <v>8</v>
      </c>
      <c r="E2" s="4" t="s">
        <v>9</v>
      </c>
      <c r="F2" s="5" t="s">
        <v>6</v>
      </c>
      <c r="G2" s="5" t="s">
        <v>7</v>
      </c>
      <c r="H2" s="5" t="s">
        <v>8</v>
      </c>
      <c r="I2" s="4" t="s">
        <v>9</v>
      </c>
      <c r="J2" s="5" t="s">
        <v>8</v>
      </c>
      <c r="K2" s="5" t="s">
        <v>9</v>
      </c>
      <c r="L2" s="5" t="s">
        <v>10</v>
      </c>
      <c r="M2" s="4" t="s">
        <v>11</v>
      </c>
      <c r="N2" s="5" t="s">
        <v>7</v>
      </c>
      <c r="O2" s="5" t="s">
        <v>8</v>
      </c>
      <c r="P2" s="5" t="s">
        <v>9</v>
      </c>
      <c r="Q2" s="5" t="s">
        <v>10</v>
      </c>
      <c r="R2" s="5" t="s">
        <v>8</v>
      </c>
      <c r="S2" s="5" t="s">
        <v>9</v>
      </c>
      <c r="T2" s="5" t="s">
        <v>10</v>
      </c>
      <c r="U2" s="4" t="s">
        <v>11</v>
      </c>
      <c r="V2" s="5" t="s">
        <v>6</v>
      </c>
      <c r="W2" s="5" t="s">
        <v>7</v>
      </c>
      <c r="X2" s="5" t="s">
        <v>8</v>
      </c>
      <c r="Y2" s="4" t="s">
        <v>9</v>
      </c>
    </row>
    <row r="3" spans="1:25" x14ac:dyDescent="0.25">
      <c r="A3" s="2" t="s">
        <v>12</v>
      </c>
      <c r="D3">
        <v>0.20050000000000001</v>
      </c>
      <c r="G3">
        <v>0.32250000000000001</v>
      </c>
      <c r="H3">
        <v>0.18720000000000001</v>
      </c>
      <c r="J3">
        <v>0.2243</v>
      </c>
      <c r="K3">
        <v>0.23180000000000001</v>
      </c>
      <c r="L3">
        <v>2.5910000000000002</v>
      </c>
      <c r="M3" s="2">
        <v>0.2077</v>
      </c>
    </row>
    <row r="4" spans="1:25" x14ac:dyDescent="0.25">
      <c r="A4" s="2" t="s">
        <v>8</v>
      </c>
      <c r="B4" t="s">
        <v>13</v>
      </c>
      <c r="C4">
        <v>4.7000000000000002E-3</v>
      </c>
      <c r="D4">
        <v>1.9400000000000001E-2</v>
      </c>
      <c r="E4" s="2">
        <v>3.5999999999999999E-3</v>
      </c>
      <c r="F4">
        <v>1.14E-2</v>
      </c>
      <c r="G4">
        <v>1.6E-2</v>
      </c>
      <c r="H4">
        <v>4.7000000000000002E-3</v>
      </c>
      <c r="I4" s="2">
        <v>1.17E-2</v>
      </c>
      <c r="J4">
        <v>5.8999999999999999E-3</v>
      </c>
      <c r="K4" t="s">
        <v>13</v>
      </c>
      <c r="L4">
        <v>5.1999999999999998E-3</v>
      </c>
      <c r="M4" s="2">
        <v>0</v>
      </c>
      <c r="N4">
        <v>1.3100000000000001E-2</v>
      </c>
      <c r="O4">
        <v>2.7E-2</v>
      </c>
      <c r="P4">
        <v>0</v>
      </c>
      <c r="Q4" s="2">
        <v>1.2800000000000001E-2</v>
      </c>
      <c r="R4">
        <v>0</v>
      </c>
      <c r="S4">
        <v>0</v>
      </c>
      <c r="T4">
        <v>9.7100000000000006E-2</v>
      </c>
      <c r="U4" s="2">
        <v>0</v>
      </c>
      <c r="V4">
        <v>0</v>
      </c>
      <c r="W4">
        <v>0</v>
      </c>
      <c r="X4">
        <v>0</v>
      </c>
      <c r="Y4" s="2">
        <v>0</v>
      </c>
    </row>
    <row r="5" spans="1:25" x14ac:dyDescent="0.25">
      <c r="A5" s="2" t="s">
        <v>6</v>
      </c>
      <c r="B5">
        <v>1.32E-2</v>
      </c>
      <c r="C5">
        <v>8.0999999999999996E-3</v>
      </c>
      <c r="D5">
        <v>1.5100000000000001E-2</v>
      </c>
      <c r="E5" s="2">
        <v>1.5100000000000001E-2</v>
      </c>
      <c r="F5" t="s">
        <v>13</v>
      </c>
      <c r="G5">
        <v>2.2800000000000001E-2</v>
      </c>
      <c r="H5">
        <v>4.4999999999999997E-3</v>
      </c>
      <c r="I5" s="2">
        <v>1.43E-2</v>
      </c>
      <c r="J5">
        <v>0</v>
      </c>
      <c r="K5">
        <v>1.1599999999999999E-2</v>
      </c>
      <c r="L5">
        <v>5.4999999999999997E-3</v>
      </c>
      <c r="M5" s="2">
        <v>7.1000000000000004E-3</v>
      </c>
      <c r="N5">
        <v>5.5500000000000001E-2</v>
      </c>
      <c r="O5">
        <v>0</v>
      </c>
      <c r="P5">
        <v>8.5000000000000006E-3</v>
      </c>
      <c r="Q5" s="2">
        <v>1.8700000000000001E-2</v>
      </c>
      <c r="R5">
        <v>2.81E-2</v>
      </c>
      <c r="S5">
        <v>0</v>
      </c>
      <c r="T5">
        <v>0</v>
      </c>
      <c r="U5" s="2">
        <v>0</v>
      </c>
      <c r="V5">
        <v>0</v>
      </c>
      <c r="W5">
        <v>2.9499999999999998E-2</v>
      </c>
      <c r="X5">
        <v>0</v>
      </c>
      <c r="Y5" s="2">
        <v>2.9000000000000001E-2</v>
      </c>
    </row>
    <row r="6" spans="1:25" x14ac:dyDescent="0.25">
      <c r="A6" s="2" t="s">
        <v>14</v>
      </c>
      <c r="B6">
        <v>0</v>
      </c>
      <c r="C6">
        <v>0</v>
      </c>
      <c r="D6">
        <v>1.2999999999999999E-3</v>
      </c>
      <c r="E6" s="2">
        <v>0</v>
      </c>
      <c r="F6">
        <v>0</v>
      </c>
      <c r="G6">
        <v>2.3E-3</v>
      </c>
      <c r="H6">
        <v>0</v>
      </c>
      <c r="I6" s="2">
        <v>0</v>
      </c>
      <c r="J6">
        <v>0</v>
      </c>
      <c r="K6">
        <v>0</v>
      </c>
      <c r="L6">
        <v>0</v>
      </c>
      <c r="M6" s="2">
        <v>0</v>
      </c>
      <c r="N6">
        <v>2.8999999999999998E-3</v>
      </c>
      <c r="O6">
        <v>0</v>
      </c>
      <c r="P6">
        <v>0</v>
      </c>
      <c r="Q6" s="2">
        <v>0</v>
      </c>
      <c r="R6">
        <v>0</v>
      </c>
      <c r="S6">
        <v>4.41E-2</v>
      </c>
      <c r="T6">
        <v>5.5E-2</v>
      </c>
      <c r="U6" s="2">
        <v>0</v>
      </c>
      <c r="V6">
        <v>0</v>
      </c>
      <c r="W6">
        <v>0</v>
      </c>
      <c r="X6">
        <v>0</v>
      </c>
      <c r="Y6" s="2">
        <v>0</v>
      </c>
    </row>
    <row r="7" spans="1:25" x14ac:dyDescent="0.25">
      <c r="A7" s="2" t="s">
        <v>15</v>
      </c>
      <c r="B7">
        <v>2.6200000000000001E-2</v>
      </c>
      <c r="C7">
        <v>2.1100000000000001E-2</v>
      </c>
      <c r="D7">
        <v>3.5499999999999997E-2</v>
      </c>
      <c r="E7" s="2">
        <v>2.23E-2</v>
      </c>
      <c r="F7">
        <v>2.6100000000000002E-2</v>
      </c>
      <c r="G7">
        <v>4.65E-2</v>
      </c>
      <c r="H7">
        <v>2.1499999999999998E-2</v>
      </c>
      <c r="I7" s="2">
        <v>1.6199999999999999E-2</v>
      </c>
      <c r="J7">
        <v>2.12E-2</v>
      </c>
      <c r="K7">
        <v>8.3000000000000001E-3</v>
      </c>
      <c r="L7">
        <v>8.6999999999999994E-3</v>
      </c>
      <c r="M7" s="2">
        <v>3.15E-2</v>
      </c>
      <c r="N7">
        <v>3.09E-2</v>
      </c>
      <c r="O7">
        <v>1.24E-2</v>
      </c>
      <c r="P7">
        <v>3.0999999999999999E-3</v>
      </c>
      <c r="Q7" s="2">
        <v>5.7999999999999996E-3</v>
      </c>
      <c r="R7">
        <v>0.2132</v>
      </c>
      <c r="S7">
        <v>2.3599999999999999E-2</v>
      </c>
      <c r="T7">
        <v>1.7399999999999999E-2</v>
      </c>
      <c r="U7" s="2">
        <v>2.46E-2</v>
      </c>
      <c r="V7">
        <v>3.7999999999999999E-2</v>
      </c>
      <c r="W7">
        <v>0</v>
      </c>
      <c r="X7">
        <v>2.3099999999999999E-2</v>
      </c>
      <c r="Y7" s="2">
        <v>0</v>
      </c>
    </row>
    <row r="8" spans="1:25" x14ac:dyDescent="0.25">
      <c r="A8" s="2" t="s">
        <v>16</v>
      </c>
      <c r="B8">
        <v>0.10489999999999999</v>
      </c>
      <c r="C8">
        <v>9.35E-2</v>
      </c>
      <c r="D8" s="8">
        <f>D3-(SUM(D4:D7))</f>
        <v>0.12920000000000001</v>
      </c>
      <c r="E8" s="2">
        <v>0.1057</v>
      </c>
      <c r="F8">
        <v>0.1542</v>
      </c>
      <c r="G8" s="8">
        <f>G3-(SUM(G4:G7))</f>
        <v>0.2349</v>
      </c>
      <c r="H8">
        <v>0.1799</v>
      </c>
      <c r="I8" s="2">
        <v>0.20349999999999999</v>
      </c>
      <c r="J8">
        <v>0.2041</v>
      </c>
      <c r="K8">
        <f>K3-K5-K7</f>
        <v>0.21190000000000001</v>
      </c>
      <c r="L8">
        <v>0.19839999999999999</v>
      </c>
      <c r="M8" s="2">
        <v>0.19320000000000001</v>
      </c>
      <c r="N8">
        <v>0.27850000000000003</v>
      </c>
      <c r="O8">
        <v>0.26650000000000001</v>
      </c>
      <c r="P8">
        <v>0.27750000000000002</v>
      </c>
      <c r="Q8" s="2">
        <v>0.30840000000000001</v>
      </c>
      <c r="R8">
        <v>0.24340000000000001</v>
      </c>
      <c r="S8">
        <v>0.21579999999999999</v>
      </c>
      <c r="T8">
        <v>0.25669999999999998</v>
      </c>
      <c r="U8" s="2">
        <v>0.26150000000000001</v>
      </c>
      <c r="V8">
        <v>0.23730000000000001</v>
      </c>
      <c r="W8">
        <v>0.312</v>
      </c>
      <c r="X8">
        <v>0.25280000000000002</v>
      </c>
      <c r="Y8" s="2">
        <v>0.1963</v>
      </c>
    </row>
    <row r="9" spans="1:25" s="5" customFormat="1" x14ac:dyDescent="0.25">
      <c r="A9" s="4"/>
      <c r="E9" s="4"/>
      <c r="I9" s="4"/>
      <c r="M9" s="4"/>
      <c r="U9" s="4"/>
      <c r="Y9" s="4"/>
    </row>
    <row r="10" spans="1:25" x14ac:dyDescent="0.25">
      <c r="A10" s="2" t="s">
        <v>17</v>
      </c>
      <c r="J10">
        <v>6.2371999999999996</v>
      </c>
      <c r="Q10"/>
    </row>
    <row r="11" spans="1:25" x14ac:dyDescent="0.25">
      <c r="A11" s="2" t="s">
        <v>8</v>
      </c>
      <c r="B11">
        <v>3.3872</v>
      </c>
      <c r="C11">
        <v>2.6631</v>
      </c>
      <c r="D11">
        <v>3.3599000000000001</v>
      </c>
      <c r="E11" s="2">
        <v>3.7212999999999998</v>
      </c>
      <c r="F11">
        <v>5.3780000000000001</v>
      </c>
      <c r="G11">
        <v>5.9192</v>
      </c>
      <c r="H11">
        <v>4.7988</v>
      </c>
      <c r="I11" s="2">
        <v>5.3719000000000001</v>
      </c>
      <c r="J11">
        <v>5.2000999999999999</v>
      </c>
      <c r="K11">
        <f>5.1451+0.0187</f>
        <v>5.1638000000000002</v>
      </c>
      <c r="L11">
        <v>4.359</v>
      </c>
      <c r="M11" s="2">
        <v>3.464</v>
      </c>
      <c r="N11">
        <v>3.8292000000000002</v>
      </c>
      <c r="O11">
        <v>3.6463000000000001</v>
      </c>
      <c r="P11">
        <v>3.7448999999999999</v>
      </c>
      <c r="Q11" s="2">
        <v>4.5938999999999997</v>
      </c>
      <c r="R11">
        <v>2.8050000000000002</v>
      </c>
      <c r="S11">
        <v>4.6452999999999998</v>
      </c>
      <c r="T11">
        <v>3.9916</v>
      </c>
      <c r="U11" s="2">
        <v>4.2624000000000004</v>
      </c>
      <c r="V11">
        <v>2.5874999999999999</v>
      </c>
      <c r="W11">
        <v>2.9746999999999999</v>
      </c>
      <c r="X11">
        <v>2.3729</v>
      </c>
      <c r="Y11" s="2">
        <v>2.4569999999999999</v>
      </c>
    </row>
    <row r="12" spans="1:25" x14ac:dyDescent="0.25">
      <c r="A12" s="2" t="s">
        <v>6</v>
      </c>
      <c r="B12">
        <v>6.4399999999999999E-2</v>
      </c>
      <c r="C12">
        <v>8.6800000000000002E-2</v>
      </c>
      <c r="D12">
        <v>9.8500000000000004E-2</v>
      </c>
      <c r="E12" s="2">
        <v>9.6500000000000002E-2</v>
      </c>
      <c r="F12">
        <v>9.4E-2</v>
      </c>
      <c r="G12">
        <v>0.2266</v>
      </c>
      <c r="H12">
        <v>4.7300000000000002E-2</v>
      </c>
      <c r="I12" s="2">
        <v>0.2097</v>
      </c>
      <c r="J12">
        <v>0.54310000000000003</v>
      </c>
      <c r="K12">
        <v>0.24149999999999999</v>
      </c>
      <c r="L12">
        <v>0.1056</v>
      </c>
      <c r="M12" s="2">
        <v>0.22020000000000001</v>
      </c>
      <c r="N12">
        <v>0.19170000000000001</v>
      </c>
      <c r="O12">
        <v>0.2132</v>
      </c>
      <c r="P12">
        <v>0.2427</v>
      </c>
      <c r="Q12" s="2">
        <v>0.36449999999999999</v>
      </c>
      <c r="R12">
        <v>0.12520000000000001</v>
      </c>
      <c r="S12">
        <v>0.25490000000000002</v>
      </c>
      <c r="T12">
        <v>0.1183</v>
      </c>
      <c r="U12" s="2">
        <v>0.18479999999999999</v>
      </c>
      <c r="V12">
        <v>2.69E-2</v>
      </c>
      <c r="W12">
        <v>7.4200000000000002E-2</v>
      </c>
      <c r="X12">
        <v>4.4999999999999998E-2</v>
      </c>
      <c r="Y12" s="2">
        <v>0.15390000000000001</v>
      </c>
    </row>
    <row r="13" spans="1:25" x14ac:dyDescent="0.25">
      <c r="A13" s="2" t="s">
        <v>14</v>
      </c>
      <c r="B13">
        <v>1.7899999999999999E-2</v>
      </c>
      <c r="C13">
        <v>1.77E-2</v>
      </c>
      <c r="D13">
        <v>5.1999999999999998E-3</v>
      </c>
      <c r="E13" s="2">
        <v>7.9000000000000008E-3</v>
      </c>
      <c r="F13">
        <v>8.6999999999999994E-2</v>
      </c>
      <c r="G13">
        <v>1.8100000000000002E-2</v>
      </c>
      <c r="H13">
        <v>8.8499999999999995E-2</v>
      </c>
      <c r="I13" s="2">
        <v>5.6500000000000002E-2</v>
      </c>
      <c r="J13">
        <v>0.1376</v>
      </c>
      <c r="K13">
        <v>4.3200000000000002E-2</v>
      </c>
      <c r="L13">
        <v>2.5000000000000001E-2</v>
      </c>
      <c r="M13" s="2">
        <v>4.1000000000000002E-2</v>
      </c>
      <c r="N13">
        <v>5.0299999999999997E-2</v>
      </c>
      <c r="O13">
        <v>9.5500000000000002E-2</v>
      </c>
      <c r="P13">
        <v>2.8000000000000001E-2</v>
      </c>
      <c r="Q13" s="2">
        <v>3.9300000000000002E-2</v>
      </c>
      <c r="R13">
        <v>0.18</v>
      </c>
      <c r="S13">
        <v>0.25530000000000003</v>
      </c>
      <c r="T13">
        <v>0.29299999999999998</v>
      </c>
      <c r="U13" s="2">
        <v>0.37030000000000002</v>
      </c>
      <c r="V13">
        <v>0.22489999999999999</v>
      </c>
      <c r="W13">
        <v>0.21679999999999999</v>
      </c>
      <c r="X13">
        <v>0.14599999999999999</v>
      </c>
      <c r="Y13" s="2">
        <v>0.1181</v>
      </c>
    </row>
    <row r="14" spans="1:25" x14ac:dyDescent="0.25">
      <c r="A14" s="2" t="s">
        <v>15</v>
      </c>
      <c r="B14">
        <v>1.6799999999999999E-2</v>
      </c>
      <c r="C14">
        <v>1.0800000000000001E-2</v>
      </c>
      <c r="D14">
        <v>1.5599999999999999E-2</v>
      </c>
      <c r="E14" s="2">
        <v>3.39E-2</v>
      </c>
      <c r="F14">
        <v>2.7000000000000001E-3</v>
      </c>
      <c r="G14">
        <v>7.6399999999999996E-2</v>
      </c>
      <c r="H14">
        <v>6.83E-2</v>
      </c>
      <c r="I14" s="2">
        <v>0.10680000000000001</v>
      </c>
      <c r="J14">
        <v>0.33069999999999999</v>
      </c>
      <c r="K14">
        <f>0.2626-0.0187</f>
        <v>0.24390000000000001</v>
      </c>
      <c r="L14">
        <v>0.27060000000000001</v>
      </c>
      <c r="M14" s="2">
        <v>7.4300000000000005E-2</v>
      </c>
      <c r="N14">
        <v>4.3299999999999998E-2</v>
      </c>
      <c r="O14">
        <v>0.1429</v>
      </c>
      <c r="P14">
        <v>4.9099999999999998E-2</v>
      </c>
      <c r="Q14" s="2">
        <v>8.0100000000000005E-2</v>
      </c>
      <c r="R14">
        <v>3.4599999999999999E-2</v>
      </c>
      <c r="S14">
        <v>2.07E-2</v>
      </c>
      <c r="T14">
        <v>0.13120000000000001</v>
      </c>
      <c r="U14" s="2">
        <v>2.6200000000000001E-2</v>
      </c>
      <c r="V14">
        <v>0</v>
      </c>
      <c r="W14">
        <v>0.43790000000000001</v>
      </c>
      <c r="X14">
        <v>0.16550000000000001</v>
      </c>
      <c r="Y14" s="2">
        <v>9.0200000000000002E-2</v>
      </c>
    </row>
    <row r="15" spans="1:25" x14ac:dyDescent="0.25">
      <c r="A15" s="2" t="s">
        <v>16</v>
      </c>
      <c r="B15" t="s">
        <v>13</v>
      </c>
      <c r="C15">
        <v>1.9E-3</v>
      </c>
      <c r="D15">
        <v>1.1000000000000001E-3</v>
      </c>
      <c r="E15" s="2">
        <v>3.0999999999999999E-3</v>
      </c>
      <c r="F15">
        <v>0</v>
      </c>
      <c r="G15">
        <v>4.3E-3</v>
      </c>
      <c r="H15">
        <v>3.5000000000000001E-3</v>
      </c>
      <c r="I15" s="2">
        <v>5.0000000000000001E-3</v>
      </c>
      <c r="J15">
        <v>1.03E-2</v>
      </c>
      <c r="K15" t="s">
        <v>13</v>
      </c>
      <c r="L15">
        <v>1.06E-2</v>
      </c>
      <c r="M15" s="2">
        <v>3.5999999999999999E-3</v>
      </c>
      <c r="N15">
        <v>0</v>
      </c>
      <c r="O15">
        <v>7.1000000000000004E-3</v>
      </c>
      <c r="P15">
        <v>3.8999999999999998E-3</v>
      </c>
      <c r="Q15" s="2">
        <v>3.5999999999999999E-3</v>
      </c>
      <c r="R15" t="s">
        <v>13</v>
      </c>
      <c r="S15">
        <v>1.17E-2</v>
      </c>
      <c r="T15">
        <v>1.37E-2</v>
      </c>
      <c r="U15" s="2">
        <v>0</v>
      </c>
      <c r="V15" t="s">
        <v>13</v>
      </c>
      <c r="W15">
        <v>0</v>
      </c>
      <c r="X15">
        <v>0</v>
      </c>
      <c r="Y15" s="2" t="s">
        <v>13</v>
      </c>
    </row>
    <row r="16" spans="1:25" s="5" customFormat="1" x14ac:dyDescent="0.25">
      <c r="A16" s="4"/>
      <c r="E16" s="4"/>
      <c r="I16" s="4"/>
      <c r="M16" s="4"/>
      <c r="U16" s="4"/>
      <c r="Y16" s="4"/>
    </row>
    <row r="17" spans="1:25" x14ac:dyDescent="0.25">
      <c r="A17" s="2" t="s">
        <v>18</v>
      </c>
      <c r="Q17"/>
    </row>
    <row r="18" spans="1:25" x14ac:dyDescent="0.25">
      <c r="A18" s="2" t="s">
        <v>8</v>
      </c>
      <c r="B18">
        <v>3.7000000000000002E-3</v>
      </c>
      <c r="C18" t="s">
        <v>13</v>
      </c>
      <c r="D18">
        <v>1.2999999999999999E-3</v>
      </c>
      <c r="E18" s="2">
        <v>2E-3</v>
      </c>
      <c r="F18">
        <v>1.9E-3</v>
      </c>
      <c r="G18">
        <v>2.2000000000000001E-3</v>
      </c>
      <c r="H18" t="s">
        <v>13</v>
      </c>
      <c r="I18" s="2">
        <v>8.8000000000000005E-3</v>
      </c>
      <c r="J18">
        <v>0</v>
      </c>
      <c r="K18">
        <f>0.0006+0.0085</f>
        <v>9.1000000000000004E-3</v>
      </c>
      <c r="L18">
        <v>5.6000000000000001E-2</v>
      </c>
      <c r="M18" s="2">
        <v>4.4000000000000003E-3</v>
      </c>
      <c r="N18">
        <v>0</v>
      </c>
      <c r="O18">
        <v>0</v>
      </c>
      <c r="P18">
        <v>0</v>
      </c>
      <c r="Q18" s="2">
        <v>0</v>
      </c>
      <c r="R18">
        <v>6.6400000000000001E-2</v>
      </c>
      <c r="S18">
        <v>0</v>
      </c>
      <c r="T18">
        <v>0</v>
      </c>
      <c r="U18" s="2">
        <v>0</v>
      </c>
      <c r="V18">
        <v>0</v>
      </c>
      <c r="W18">
        <v>0</v>
      </c>
      <c r="X18">
        <v>5.2499999999999998E-2</v>
      </c>
      <c r="Y18" s="2">
        <v>5.4100000000000002E-2</v>
      </c>
    </row>
    <row r="19" spans="1:25" x14ac:dyDescent="0.25">
      <c r="A19" s="2" t="s">
        <v>6</v>
      </c>
      <c r="B19">
        <v>1.6944999999999999</v>
      </c>
      <c r="C19">
        <v>1.3859999999999999</v>
      </c>
      <c r="D19">
        <v>1.8236000000000001</v>
      </c>
      <c r="E19" s="2">
        <v>2.0177999999999998</v>
      </c>
      <c r="F19">
        <v>2.7191000000000001</v>
      </c>
      <c r="G19">
        <v>3.1537999999999999</v>
      </c>
      <c r="H19">
        <v>2.7372000000000001</v>
      </c>
      <c r="I19" s="2">
        <v>3.0581</v>
      </c>
      <c r="J19">
        <v>3.1560000000000001</v>
      </c>
      <c r="K19">
        <v>3.5194999999999999</v>
      </c>
      <c r="L19">
        <v>3.2286999999999999</v>
      </c>
      <c r="M19" s="2">
        <v>2.3831000000000002</v>
      </c>
      <c r="N19">
        <v>2.8311000000000002</v>
      </c>
      <c r="O19">
        <v>3.2161</v>
      </c>
      <c r="P19">
        <v>2.7153</v>
      </c>
      <c r="Q19" s="2">
        <v>3.6591</v>
      </c>
      <c r="R19">
        <v>2.6135999999999999</v>
      </c>
      <c r="S19">
        <v>3.1960000000000002</v>
      </c>
      <c r="T19">
        <v>3.2768000000000002</v>
      </c>
      <c r="U19" s="2">
        <v>3.1480999999999999</v>
      </c>
      <c r="V19">
        <v>3.0884</v>
      </c>
      <c r="W19">
        <v>2.1802999999999999</v>
      </c>
      <c r="X19">
        <v>2.2749000000000001</v>
      </c>
      <c r="Y19" s="2">
        <v>2.5556999999999999</v>
      </c>
    </row>
    <row r="20" spans="1:25" x14ac:dyDescent="0.25">
      <c r="A20" s="2" t="s">
        <v>14</v>
      </c>
      <c r="B20">
        <v>6.9999999999999999E-4</v>
      </c>
      <c r="C20">
        <v>2.8E-3</v>
      </c>
      <c r="D20">
        <v>8.2000000000000007E-3</v>
      </c>
      <c r="E20" s="2">
        <v>2.8E-3</v>
      </c>
      <c r="F20">
        <v>3.2300000000000002E-2</v>
      </c>
      <c r="G20">
        <v>3.8300000000000001E-2</v>
      </c>
      <c r="H20">
        <v>1.7100000000000001E-2</v>
      </c>
      <c r="I20" s="2">
        <v>1.17E-2</v>
      </c>
      <c r="J20">
        <v>2.1499999999999998E-2</v>
      </c>
      <c r="K20">
        <v>3.6600000000000001E-2</v>
      </c>
      <c r="L20">
        <v>2.41E-2</v>
      </c>
      <c r="M20" s="2">
        <v>1.3100000000000001E-2</v>
      </c>
      <c r="N20">
        <v>4.2700000000000002E-2</v>
      </c>
      <c r="O20">
        <v>0.2089</v>
      </c>
      <c r="P20">
        <v>3.49E-2</v>
      </c>
      <c r="Q20" s="2">
        <v>2.75E-2</v>
      </c>
      <c r="R20">
        <v>0.11</v>
      </c>
      <c r="S20">
        <v>0.34599999999999997</v>
      </c>
      <c r="T20">
        <v>7.3400000000000007E-2</v>
      </c>
      <c r="U20" s="2">
        <v>8.5699999999999998E-2</v>
      </c>
      <c r="V20">
        <v>0.38109999999999999</v>
      </c>
      <c r="W20">
        <v>0.4632</v>
      </c>
      <c r="X20">
        <v>0.43459999999999999</v>
      </c>
      <c r="Y20" s="2">
        <v>0.80320000000000003</v>
      </c>
    </row>
    <row r="21" spans="1:25" x14ac:dyDescent="0.25">
      <c r="A21" s="2" t="s">
        <v>15</v>
      </c>
      <c r="B21">
        <v>5.7500000000000002E-2</v>
      </c>
      <c r="C21">
        <v>2.3099999999999999E-2</v>
      </c>
      <c r="D21">
        <v>5.5500000000000001E-2</v>
      </c>
      <c r="E21" s="2">
        <v>5.7599999999999998E-2</v>
      </c>
      <c r="F21">
        <v>0.16270000000000001</v>
      </c>
      <c r="G21">
        <v>0.21909999999999999</v>
      </c>
      <c r="H21">
        <v>0.22339999999999999</v>
      </c>
      <c r="I21" s="2">
        <v>0.21759999999999999</v>
      </c>
      <c r="J21">
        <v>0.2586</v>
      </c>
      <c r="K21">
        <f>0.3231-0.0085</f>
        <v>0.31459999999999999</v>
      </c>
      <c r="L21">
        <v>0.2646</v>
      </c>
      <c r="M21" s="2">
        <v>0.1484</v>
      </c>
      <c r="N21">
        <v>0.4627</v>
      </c>
      <c r="O21">
        <v>0.39140000000000003</v>
      </c>
      <c r="P21">
        <v>0.50209999999999999</v>
      </c>
      <c r="Q21" s="2">
        <v>0.3407</v>
      </c>
      <c r="R21">
        <v>0.33119999999999999</v>
      </c>
      <c r="S21">
        <v>0.371</v>
      </c>
      <c r="T21">
        <v>0.58509999999999995</v>
      </c>
      <c r="U21" s="2">
        <v>0.35980000000000001</v>
      </c>
      <c r="V21">
        <v>0.21529999999999999</v>
      </c>
      <c r="W21">
        <v>0.64219999999999999</v>
      </c>
      <c r="X21">
        <v>0.57089999999999996</v>
      </c>
      <c r="Y21" s="2">
        <v>0.44140000000000001</v>
      </c>
    </row>
    <row r="22" spans="1:25" x14ac:dyDescent="0.25">
      <c r="A22" s="2" t="s">
        <v>16</v>
      </c>
      <c r="B22">
        <v>1.09E-2</v>
      </c>
      <c r="C22">
        <v>4.1999999999999997E-3</v>
      </c>
      <c r="D22">
        <v>7.0000000000000001E-3</v>
      </c>
      <c r="E22" s="2">
        <v>7.3000000000000001E-3</v>
      </c>
      <c r="F22">
        <v>1.49E-2</v>
      </c>
      <c r="G22">
        <v>6.3E-3</v>
      </c>
      <c r="H22">
        <v>1.54E-2</v>
      </c>
      <c r="I22" s="2">
        <v>1.43E-2</v>
      </c>
      <c r="J22">
        <v>4.3700000000000003E-2</v>
      </c>
      <c r="K22">
        <v>9.7000000000000003E-3</v>
      </c>
      <c r="L22">
        <v>4.8099999999999997E-2</v>
      </c>
      <c r="M22" s="2">
        <v>9.4999999999999998E-3</v>
      </c>
      <c r="N22">
        <v>6.3E-3</v>
      </c>
      <c r="O22">
        <v>3.3599999999999998E-2</v>
      </c>
      <c r="P22">
        <v>7.4899999999999994E-2</v>
      </c>
      <c r="Q22" s="2">
        <v>4.6399999999999997E-2</v>
      </c>
      <c r="R22">
        <v>2.5000000000000001E-2</v>
      </c>
      <c r="S22">
        <v>2.0400000000000001E-2</v>
      </c>
      <c r="T22">
        <v>1.7100000000000001E-2</v>
      </c>
      <c r="U22" s="2">
        <v>2.92E-2</v>
      </c>
      <c r="V22">
        <v>3.09E-2</v>
      </c>
      <c r="W22">
        <v>0.252</v>
      </c>
      <c r="X22">
        <v>2.8799999999999999E-2</v>
      </c>
      <c r="Y22" s="2">
        <v>8.5199999999999998E-2</v>
      </c>
    </row>
    <row r="24" spans="1:25" x14ac:dyDescent="0.25">
      <c r="A24" s="2" t="s">
        <v>19</v>
      </c>
      <c r="B24">
        <f>SUM(B25:B27)</f>
        <v>5.3978999999999999</v>
      </c>
      <c r="C24">
        <f t="shared" ref="C24:Y24" si="0">SUM(C25:C27)</f>
        <v>4.3238000000000003</v>
      </c>
      <c r="D24">
        <f t="shared" si="0"/>
        <v>5.5764000000000005</v>
      </c>
      <c r="E24">
        <f t="shared" si="0"/>
        <v>6.0968999999999989</v>
      </c>
      <c r="F24">
        <f t="shared" si="0"/>
        <v>8.6843000000000004</v>
      </c>
      <c r="G24">
        <f t="shared" si="0"/>
        <v>9.9867999999999988</v>
      </c>
      <c r="H24">
        <f t="shared" si="0"/>
        <v>8.2101000000000006</v>
      </c>
      <c r="I24">
        <f t="shared" si="0"/>
        <v>9.3060999999999989</v>
      </c>
      <c r="J24">
        <f t="shared" si="0"/>
        <v>9.9328000000000003</v>
      </c>
      <c r="K24">
        <f t="shared" si="0"/>
        <v>9.8137000000000008</v>
      </c>
      <c r="L24">
        <f t="shared" si="0"/>
        <v>8.6100999999999992</v>
      </c>
      <c r="M24">
        <f t="shared" si="0"/>
        <v>6.5934000000000008</v>
      </c>
      <c r="N24">
        <f t="shared" si="0"/>
        <v>7.8382000000000005</v>
      </c>
      <c r="O24">
        <f t="shared" si="0"/>
        <v>8.2608999999999995</v>
      </c>
      <c r="P24">
        <f t="shared" si="0"/>
        <v>7.6849000000000007</v>
      </c>
      <c r="Q24">
        <f t="shared" si="0"/>
        <v>9.5007999999999981</v>
      </c>
      <c r="R24">
        <f t="shared" si="0"/>
        <v>6.7757000000000005</v>
      </c>
      <c r="S24">
        <f t="shared" si="0"/>
        <v>9.4047999999999998</v>
      </c>
      <c r="T24">
        <f t="shared" si="0"/>
        <v>8.9263999999999992</v>
      </c>
      <c r="U24">
        <f t="shared" si="0"/>
        <v>8.752600000000001</v>
      </c>
      <c r="V24">
        <f t="shared" si="0"/>
        <v>6.8302999999999994</v>
      </c>
      <c r="W24">
        <f t="shared" si="0"/>
        <v>7.5827999999999998</v>
      </c>
      <c r="X24">
        <f t="shared" si="0"/>
        <v>6.3670000000000009</v>
      </c>
      <c r="Y24">
        <f t="shared" si="0"/>
        <v>6.9840999999999998</v>
      </c>
    </row>
    <row r="25" spans="1:25" x14ac:dyDescent="0.25">
      <c r="A25" s="2" t="s">
        <v>12</v>
      </c>
      <c r="B25">
        <f>SUM(B4:B8)</f>
        <v>0.14429999999999998</v>
      </c>
      <c r="C25">
        <f t="shared" ref="C25:Y25" si="1">SUM(C4:C8)</f>
        <v>0.12740000000000001</v>
      </c>
      <c r="D25">
        <f t="shared" si="1"/>
        <v>0.20050000000000001</v>
      </c>
      <c r="E25">
        <f t="shared" si="1"/>
        <v>0.1467</v>
      </c>
      <c r="F25">
        <f t="shared" si="1"/>
        <v>0.19170000000000001</v>
      </c>
      <c r="G25">
        <f t="shared" si="1"/>
        <v>0.32250000000000001</v>
      </c>
      <c r="H25">
        <f t="shared" si="1"/>
        <v>0.21060000000000001</v>
      </c>
      <c r="I25">
        <f t="shared" si="1"/>
        <v>0.24569999999999997</v>
      </c>
      <c r="J25">
        <f t="shared" si="1"/>
        <v>0.23120000000000002</v>
      </c>
      <c r="K25">
        <f t="shared" si="1"/>
        <v>0.23180000000000001</v>
      </c>
      <c r="L25">
        <f t="shared" si="1"/>
        <v>0.21779999999999999</v>
      </c>
      <c r="M25">
        <f t="shared" si="1"/>
        <v>0.23180000000000001</v>
      </c>
      <c r="N25">
        <f t="shared" si="1"/>
        <v>0.38090000000000002</v>
      </c>
      <c r="O25">
        <f t="shared" si="1"/>
        <v>0.30590000000000001</v>
      </c>
      <c r="P25">
        <f t="shared" si="1"/>
        <v>0.28910000000000002</v>
      </c>
      <c r="Q25">
        <f t="shared" si="1"/>
        <v>0.34570000000000001</v>
      </c>
      <c r="R25">
        <f t="shared" si="1"/>
        <v>0.48470000000000002</v>
      </c>
      <c r="S25">
        <f t="shared" si="1"/>
        <v>0.28349999999999997</v>
      </c>
      <c r="T25">
        <f t="shared" si="1"/>
        <v>0.42620000000000002</v>
      </c>
      <c r="U25">
        <f t="shared" si="1"/>
        <v>0.28610000000000002</v>
      </c>
      <c r="V25">
        <f t="shared" si="1"/>
        <v>0.27529999999999999</v>
      </c>
      <c r="W25">
        <f t="shared" si="1"/>
        <v>0.34150000000000003</v>
      </c>
      <c r="X25">
        <f t="shared" si="1"/>
        <v>0.27590000000000003</v>
      </c>
      <c r="Y25">
        <f t="shared" si="1"/>
        <v>0.2253</v>
      </c>
    </row>
    <row r="26" spans="1:25" x14ac:dyDescent="0.25">
      <c r="A26" s="2" t="s">
        <v>17</v>
      </c>
      <c r="B26">
        <f>SUM(B11:B15)</f>
        <v>3.4863</v>
      </c>
      <c r="C26">
        <f t="shared" ref="C26:Y26" si="2">SUM(C11:C15)</f>
        <v>2.7803000000000004</v>
      </c>
      <c r="D26">
        <f t="shared" si="2"/>
        <v>3.4803000000000002</v>
      </c>
      <c r="E26">
        <f t="shared" si="2"/>
        <v>3.8626999999999994</v>
      </c>
      <c r="F26">
        <f t="shared" si="2"/>
        <v>5.5617000000000001</v>
      </c>
      <c r="G26">
        <f t="shared" si="2"/>
        <v>6.2445999999999993</v>
      </c>
      <c r="H26">
        <f t="shared" si="2"/>
        <v>5.0063999999999993</v>
      </c>
      <c r="I26">
        <f t="shared" si="2"/>
        <v>5.7498999999999993</v>
      </c>
      <c r="J26">
        <f t="shared" si="2"/>
        <v>6.2218</v>
      </c>
      <c r="K26">
        <f t="shared" si="2"/>
        <v>5.6924000000000001</v>
      </c>
      <c r="L26">
        <f t="shared" si="2"/>
        <v>4.7708000000000004</v>
      </c>
      <c r="M26">
        <f t="shared" si="2"/>
        <v>3.8031000000000001</v>
      </c>
      <c r="N26">
        <f t="shared" si="2"/>
        <v>4.1145000000000005</v>
      </c>
      <c r="O26">
        <f t="shared" si="2"/>
        <v>4.1050000000000004</v>
      </c>
      <c r="P26">
        <f t="shared" si="2"/>
        <v>4.0686</v>
      </c>
      <c r="Q26">
        <f t="shared" si="2"/>
        <v>5.0813999999999986</v>
      </c>
      <c r="R26">
        <f t="shared" si="2"/>
        <v>3.1448000000000005</v>
      </c>
      <c r="S26">
        <f t="shared" si="2"/>
        <v>5.1879</v>
      </c>
      <c r="T26">
        <f t="shared" si="2"/>
        <v>4.5477999999999996</v>
      </c>
      <c r="U26">
        <f t="shared" si="2"/>
        <v>4.843700000000001</v>
      </c>
      <c r="V26">
        <f t="shared" si="2"/>
        <v>2.8392999999999997</v>
      </c>
      <c r="W26">
        <f t="shared" si="2"/>
        <v>3.7035999999999998</v>
      </c>
      <c r="X26">
        <f t="shared" si="2"/>
        <v>2.7294</v>
      </c>
      <c r="Y26">
        <f t="shared" si="2"/>
        <v>2.8191999999999999</v>
      </c>
    </row>
    <row r="27" spans="1:25" x14ac:dyDescent="0.25">
      <c r="A27" s="2" t="s">
        <v>18</v>
      </c>
      <c r="B27">
        <f>SUM(B18:B22)</f>
        <v>1.7672999999999999</v>
      </c>
      <c r="C27">
        <f t="shared" ref="C27:Y27" si="3">SUM(C18:C22)</f>
        <v>1.4160999999999997</v>
      </c>
      <c r="D27">
        <f t="shared" si="3"/>
        <v>1.8956000000000002</v>
      </c>
      <c r="E27">
        <f t="shared" si="3"/>
        <v>2.0874999999999995</v>
      </c>
      <c r="F27">
        <f t="shared" si="3"/>
        <v>2.9309000000000003</v>
      </c>
      <c r="G27">
        <f t="shared" si="3"/>
        <v>3.4197000000000002</v>
      </c>
      <c r="H27">
        <f t="shared" si="3"/>
        <v>2.9931000000000001</v>
      </c>
      <c r="I27">
        <f t="shared" si="3"/>
        <v>3.3104999999999998</v>
      </c>
      <c r="J27">
        <f t="shared" si="3"/>
        <v>3.4798</v>
      </c>
      <c r="K27">
        <f t="shared" si="3"/>
        <v>3.8895</v>
      </c>
      <c r="L27">
        <f t="shared" si="3"/>
        <v>3.6214999999999997</v>
      </c>
      <c r="M27">
        <f t="shared" si="3"/>
        <v>2.5585000000000004</v>
      </c>
      <c r="N27">
        <f t="shared" si="3"/>
        <v>3.3428</v>
      </c>
      <c r="O27">
        <f t="shared" si="3"/>
        <v>3.8499999999999996</v>
      </c>
      <c r="P27">
        <f t="shared" si="3"/>
        <v>3.3271999999999999</v>
      </c>
      <c r="Q27">
        <f t="shared" si="3"/>
        <v>4.0737000000000005</v>
      </c>
      <c r="R27">
        <f t="shared" si="3"/>
        <v>3.1461999999999994</v>
      </c>
      <c r="S27">
        <f t="shared" si="3"/>
        <v>3.9334000000000002</v>
      </c>
      <c r="T27">
        <f t="shared" si="3"/>
        <v>3.9523999999999999</v>
      </c>
      <c r="U27">
        <f t="shared" si="3"/>
        <v>3.6227999999999998</v>
      </c>
      <c r="V27">
        <f t="shared" si="3"/>
        <v>3.7157</v>
      </c>
      <c r="W27">
        <f t="shared" si="3"/>
        <v>3.5377000000000001</v>
      </c>
      <c r="X27">
        <f t="shared" si="3"/>
        <v>3.3617000000000004</v>
      </c>
      <c r="Y27">
        <f t="shared" si="3"/>
        <v>3.9396</v>
      </c>
    </row>
    <row r="28" spans="1:25" x14ac:dyDescent="0.25">
      <c r="B28">
        <f>SUM(B26:B27)</f>
        <v>5.2535999999999996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48FF-BD6D-4227-9835-FE3F38708A8C}">
  <sheetPr codeName="Sheet3"/>
  <dimension ref="A1:Y24"/>
  <sheetViews>
    <sheetView workbookViewId="0">
      <selection activeCell="B5" sqref="B5"/>
    </sheetView>
  </sheetViews>
  <sheetFormatPr defaultColWidth="8.85546875" defaultRowHeight="15" x14ac:dyDescent="0.25"/>
  <cols>
    <col min="1" max="1" width="14.140625" style="2" bestFit="1" customWidth="1"/>
    <col min="2" max="2" width="8.85546875" style="16"/>
  </cols>
  <sheetData>
    <row r="1" spans="1:25" x14ac:dyDescent="0.25">
      <c r="B1" s="98" t="s">
        <v>0</v>
      </c>
      <c r="C1" s="98"/>
      <c r="D1" s="98"/>
      <c r="E1" s="98"/>
      <c r="F1" s="98" t="s">
        <v>1</v>
      </c>
      <c r="G1" s="98"/>
      <c r="H1" s="98"/>
      <c r="I1" s="98"/>
      <c r="J1" s="98" t="s">
        <v>2</v>
      </c>
      <c r="K1" s="98"/>
      <c r="L1" s="98"/>
      <c r="M1" s="98"/>
      <c r="N1" s="98" t="s">
        <v>3</v>
      </c>
      <c r="O1" s="98"/>
      <c r="P1" s="98"/>
      <c r="Q1" s="98"/>
      <c r="R1" s="98" t="s">
        <v>4</v>
      </c>
      <c r="S1" s="98"/>
      <c r="T1" s="98"/>
      <c r="U1" s="98"/>
      <c r="V1" s="98" t="s">
        <v>5</v>
      </c>
      <c r="W1" s="98"/>
      <c r="X1" s="98"/>
      <c r="Y1" s="98"/>
    </row>
    <row r="2" spans="1:25" x14ac:dyDescent="0.25">
      <c r="B2" s="16" t="s">
        <v>6</v>
      </c>
      <c r="C2" t="s">
        <v>7</v>
      </c>
      <c r="D2" t="s">
        <v>8</v>
      </c>
      <c r="E2" t="s">
        <v>9</v>
      </c>
      <c r="F2" t="s">
        <v>6</v>
      </c>
      <c r="G2" t="s">
        <v>7</v>
      </c>
      <c r="H2" t="s">
        <v>8</v>
      </c>
      <c r="I2" t="s">
        <v>9</v>
      </c>
      <c r="J2" t="s">
        <v>8</v>
      </c>
      <c r="K2" t="s">
        <v>9</v>
      </c>
      <c r="L2" t="s">
        <v>10</v>
      </c>
      <c r="M2" t="s">
        <v>11</v>
      </c>
      <c r="N2" t="s">
        <v>7</v>
      </c>
      <c r="O2" t="s">
        <v>8</v>
      </c>
      <c r="P2" t="s">
        <v>9</v>
      </c>
      <c r="Q2" t="s">
        <v>10</v>
      </c>
      <c r="R2" t="s">
        <v>8</v>
      </c>
      <c r="S2" t="s">
        <v>9</v>
      </c>
      <c r="T2" t="s">
        <v>10</v>
      </c>
      <c r="U2" t="s">
        <v>11</v>
      </c>
      <c r="V2" t="s">
        <v>6</v>
      </c>
      <c r="W2" t="s">
        <v>7</v>
      </c>
      <c r="X2" t="s">
        <v>8</v>
      </c>
      <c r="Y2" t="s">
        <v>9</v>
      </c>
    </row>
    <row r="3" spans="1:25" s="9" customFormat="1" x14ac:dyDescent="0.25">
      <c r="A3" s="13" t="s">
        <v>19</v>
      </c>
      <c r="B3" s="21">
        <f>('R0030_LFP'!B24/'R0030_LFP'!B24)*100</f>
        <v>100</v>
      </c>
      <c r="C3" s="21">
        <f>('R0030_LFP'!C24/'R0030_LFP'!C24)*100</f>
        <v>100</v>
      </c>
      <c r="D3" s="21">
        <f>('R0030_LFP'!D24/'R0030_LFP'!D24)*100</f>
        <v>100</v>
      </c>
      <c r="E3" s="21">
        <f>('R0030_LFP'!E24/'R0030_LFP'!E24)*100</f>
        <v>100</v>
      </c>
      <c r="F3" s="21">
        <f>('R0030_LFP'!F24/'R0030_LFP'!F24)*100</f>
        <v>100</v>
      </c>
      <c r="G3" s="21">
        <f>('R0030_LFP'!G24/'R0030_LFP'!G24)*100</f>
        <v>100</v>
      </c>
      <c r="H3" s="21">
        <f>('R0030_LFP'!H24/'R0030_LFP'!H24)*100</f>
        <v>100</v>
      </c>
      <c r="I3" s="21">
        <f>('R0030_LFP'!I24/'R0030_LFP'!I24)*100</f>
        <v>100</v>
      </c>
      <c r="J3" s="21">
        <f>('R0030_LFP'!J24/'R0030_LFP'!J24)*100</f>
        <v>100</v>
      </c>
      <c r="K3" s="21">
        <f>('R0030_LFP'!K24/'R0030_LFP'!K24)*100</f>
        <v>100</v>
      </c>
      <c r="L3" s="21">
        <f>('R0030_LFP'!L24/'R0030_LFP'!L24)*100</f>
        <v>100</v>
      </c>
      <c r="M3" s="21">
        <f>('R0030_LFP'!M24/'R0030_LFP'!M24)*100</f>
        <v>100</v>
      </c>
      <c r="N3" s="21">
        <f>('R0030_LFP'!N24/'R0030_LFP'!N24)*100</f>
        <v>100</v>
      </c>
      <c r="O3" s="21">
        <f>('R0030_LFP'!O24/'R0030_LFP'!O24)*100</f>
        <v>100</v>
      </c>
      <c r="P3" s="21">
        <f>('R0030_LFP'!P24/'R0030_LFP'!P24)*100</f>
        <v>100</v>
      </c>
      <c r="Q3" s="21">
        <f>('R0030_LFP'!Q24/'R0030_LFP'!Q24)*100</f>
        <v>100</v>
      </c>
      <c r="R3" s="21">
        <f>('R0030_LFP'!R24/'R0030_LFP'!R24)*100</f>
        <v>100</v>
      </c>
      <c r="S3" s="21">
        <f>('R0030_LFP'!S24/'R0030_LFP'!S24)*100</f>
        <v>100</v>
      </c>
      <c r="T3" s="21">
        <f>('R0030_LFP'!T24/'R0030_LFP'!T24)*100</f>
        <v>100</v>
      </c>
      <c r="U3" s="21">
        <f>('R0030_LFP'!U24/'R0030_LFP'!U24)*100</f>
        <v>100</v>
      </c>
      <c r="V3" s="21">
        <f>('R0030_LFP'!V24/'R0030_LFP'!V24)*100</f>
        <v>100</v>
      </c>
      <c r="W3" s="21">
        <f>('R0030_LFP'!W24/'R0030_LFP'!W24)*100</f>
        <v>100</v>
      </c>
      <c r="X3" s="21">
        <f>('R0030_LFP'!X24/'R0030_LFP'!X24)*100</f>
        <v>100</v>
      </c>
      <c r="Y3" s="21">
        <f>('R0030_LFP'!Y24/'R0030_LFP'!Y24)*100</f>
        <v>100</v>
      </c>
    </row>
    <row r="4" spans="1:25" s="24" customFormat="1" x14ac:dyDescent="0.25">
      <c r="A4" s="22" t="s">
        <v>12</v>
      </c>
      <c r="B4" s="23">
        <f>('R0030_LFP'!B25/'R0030_LFP'!$B$24)*100</f>
        <v>2.6732618240426831</v>
      </c>
      <c r="C4" s="23">
        <f>('R0030_LFP'!C25/'R0030_LFP'!$C$24)*100</f>
        <v>2.9464822609741432</v>
      </c>
      <c r="D4" s="23">
        <f>('R0030_LFP'!D25/'R0030_LFP'!$D$24)*100</f>
        <v>3.5955096478014488</v>
      </c>
      <c r="E4" s="23">
        <f>('R0030_LFP'!E25/'R0030_LFP'!$E$24)*100</f>
        <v>2.4061408256655028</v>
      </c>
      <c r="F4" s="23">
        <f>('R0030_LFP'!F25/'R0030_LFP'!$F$24)*100</f>
        <v>2.2074318022177954</v>
      </c>
      <c r="G4" s="23">
        <f>('R0030_LFP'!G25/'R0030_LFP'!$G$24)*100</f>
        <v>3.2292626266672011</v>
      </c>
      <c r="H4" s="23">
        <f>('R0030_LFP'!H25/'R0030_LFP'!$H$24)*100</f>
        <v>2.5651331896079217</v>
      </c>
      <c r="I4" s="23">
        <f>('R0030_LFP'!I25/'R0030_LFP'!$I$24)*100</f>
        <v>2.6402037373335769</v>
      </c>
      <c r="J4" s="23">
        <f>('R0030_LFP'!J25/'R0030_LFP'!$J$24)*100</f>
        <v>2.3276417525773194</v>
      </c>
      <c r="K4" s="23">
        <f>('R0030_LFP'!K25/'R0030_LFP'!$K$24)*100</f>
        <v>2.3620041370736824</v>
      </c>
      <c r="L4" s="23">
        <f>('R0030_LFP'!L25/'R0030_LFP'!$L$24)*100</f>
        <v>2.5295873450947144</v>
      </c>
      <c r="M4" s="23">
        <f>('R0030_LFP'!M25/'R0030_LFP'!$M$24)*100</f>
        <v>3.5156368489701819</v>
      </c>
      <c r="N4" s="23">
        <f>('R0030_LFP'!N25/'R0030_LFP'!$N$24)*100</f>
        <v>4.8595340767012836</v>
      </c>
      <c r="O4" s="23">
        <f>('R0030_LFP'!O25/'R0030_LFP'!$O$24)*100</f>
        <v>3.7029863574186832</v>
      </c>
      <c r="P4" s="23">
        <f>('R0030_LFP'!P25/'R0030_LFP'!$P$24)*100</f>
        <v>3.7619227315905217</v>
      </c>
      <c r="Q4" s="23">
        <f>('R0030_LFP'!Q25/'R0030_LFP'!$Q$24)*100</f>
        <v>3.6386409565510278</v>
      </c>
      <c r="R4" s="23">
        <f>('R0030_LFP'!R25/'R0030_LFP'!$R$24)*100</f>
        <v>7.1535044349661288</v>
      </c>
      <c r="S4" s="23">
        <f>('R0030_LFP'!S25/'R0030_LFP'!$S$24)*100</f>
        <v>3.0144181694453893</v>
      </c>
      <c r="T4" s="23">
        <f>('R0030_LFP'!T25/'R0030_LFP'!$T$24)*100</f>
        <v>4.7746011830077082</v>
      </c>
      <c r="U4" s="23">
        <f>('R0030_LFP'!U25/'R0030_LFP'!$U$24)*100</f>
        <v>3.2687430020793822</v>
      </c>
      <c r="V4" s="23">
        <f>('R0030_LFP'!V25/'R0030_LFP'!$V$24)*100</f>
        <v>4.0305696675109441</v>
      </c>
      <c r="W4" s="23">
        <f>('R0030_LFP'!W25/'R0030_LFP'!$W$24)*100</f>
        <v>4.5036134409452977</v>
      </c>
      <c r="X4" s="23">
        <f>('R0030_LFP'!X25/'R0030_LFP'!$X$24)*100</f>
        <v>4.3332809800534005</v>
      </c>
      <c r="Y4" s="23">
        <f>('R0030_LFP'!Y25/'R0030_LFP'!$Y$24)*100</f>
        <v>3.2258988273363784</v>
      </c>
    </row>
    <row r="5" spans="1:25" x14ac:dyDescent="0.25">
      <c r="A5" s="2" t="s">
        <v>8</v>
      </c>
      <c r="B5" s="25">
        <v>0</v>
      </c>
      <c r="C5" s="16">
        <f>('R0030_LFP'!C4/'R0030_LFP'!$C$24)*100</f>
        <v>0.10870067995744483</v>
      </c>
      <c r="D5" s="16">
        <f>('R0030_LFP'!D4/'R0030_LFP'!$D$24)*100</f>
        <v>0.34789469908901799</v>
      </c>
      <c r="E5" s="16">
        <f>('R0030_LFP'!E4/'R0030_LFP'!$E$24)*100</f>
        <v>5.9046400629828286E-2</v>
      </c>
      <c r="F5" s="16">
        <f>('R0030_LFP'!F4/'R0030_LFP'!$F$24)*100</f>
        <v>0.13127137477977499</v>
      </c>
      <c r="G5" s="16">
        <f>('R0030_LFP'!G4/'R0030_LFP'!$G$24)*100</f>
        <v>0.1602114791524813</v>
      </c>
      <c r="H5" s="16">
        <f>('R0030_LFP'!H4/'R0030_LFP'!$H$24)*100</f>
        <v>5.7246562161240425E-2</v>
      </c>
      <c r="I5" s="16">
        <f>('R0030_LFP'!I4/'R0030_LFP'!$I$24)*100</f>
        <v>0.12572398749207511</v>
      </c>
      <c r="J5" s="16">
        <f>('R0030_LFP'!J4/'R0030_LFP'!$J$24)*100</f>
        <v>5.9399162371134018E-2</v>
      </c>
      <c r="K5" s="25">
        <v>0</v>
      </c>
      <c r="L5" s="16">
        <f>('R0030_LFP'!L4/'R0030_LFP'!$L$24)*100</f>
        <v>6.0394188220810455E-2</v>
      </c>
      <c r="M5" s="16">
        <f>('R0030_LFP'!M4/'R0030_LFP'!$M$24)*100</f>
        <v>0</v>
      </c>
      <c r="N5" s="16">
        <f>('R0030_LFP'!N4/'R0030_LFP'!$N$24)*100</f>
        <v>0.1671302084662295</v>
      </c>
      <c r="O5" s="16">
        <f>('R0030_LFP'!O4/'R0030_LFP'!$O$24)*100</f>
        <v>0.32684090111246961</v>
      </c>
      <c r="P5" s="16">
        <f>('R0030_LFP'!P4/'R0030_LFP'!$P$24)*100</f>
        <v>0</v>
      </c>
      <c r="Q5" s="16">
        <f>('R0030_LFP'!Q4/'R0030_LFP'!$Q$24)*100</f>
        <v>0.13472549680026949</v>
      </c>
      <c r="R5" s="16">
        <f>('R0030_LFP'!R4/'R0030_LFP'!$R$24)*100</f>
        <v>0</v>
      </c>
      <c r="S5" s="16">
        <f>('R0030_LFP'!S4/'R0030_LFP'!$S$24)*100</f>
        <v>0</v>
      </c>
      <c r="T5" s="16">
        <f>('R0030_LFP'!T4/'R0030_LFP'!$T$24)*100</f>
        <v>1.0877845492023661</v>
      </c>
      <c r="U5" s="16">
        <f>('R0030_LFP'!U4/'R0030_LFP'!$U$24)*100</f>
        <v>0</v>
      </c>
      <c r="V5" s="16">
        <f>('R0030_LFP'!V4/'R0030_LFP'!$V$24)*100</f>
        <v>0</v>
      </c>
      <c r="W5" s="16">
        <f>('R0030_LFP'!W4/'R0030_LFP'!$W$24)*100</f>
        <v>0</v>
      </c>
      <c r="X5" s="16">
        <f>('R0030_LFP'!X4/'R0030_LFP'!$X$24)*100</f>
        <v>0</v>
      </c>
      <c r="Y5" s="16">
        <f>('R0030_LFP'!Y4/'R0030_LFP'!$Y$24)*100</f>
        <v>0</v>
      </c>
    </row>
    <row r="6" spans="1:25" x14ac:dyDescent="0.25">
      <c r="A6" s="2" t="s">
        <v>6</v>
      </c>
      <c r="B6" s="16">
        <f>('R0030_LFP'!B5/'R0030_LFP'!$B$24)*100</f>
        <v>0.24453954315567164</v>
      </c>
      <c r="C6" s="16">
        <f>('R0030_LFP'!C5/'R0030_LFP'!$C$24)*100</f>
        <v>0.18733521439474535</v>
      </c>
      <c r="D6" s="16">
        <f>('R0030_LFP'!D5/'R0030_LFP'!$D$24)*100</f>
        <v>0.27078401836310162</v>
      </c>
      <c r="E6" s="16">
        <f>('R0030_LFP'!E5/'R0030_LFP'!$E$24)*100</f>
        <v>0.24766684708622419</v>
      </c>
      <c r="F6" s="25">
        <v>0</v>
      </c>
      <c r="G6" s="16">
        <f>('R0030_LFP'!G5/'R0030_LFP'!$G$24)*100</f>
        <v>0.22830135779228583</v>
      </c>
      <c r="H6" s="16">
        <f>('R0030_LFP'!H5/'R0030_LFP'!$H$24)*100</f>
        <v>5.4810538239485507E-2</v>
      </c>
      <c r="I6" s="16">
        <f>('R0030_LFP'!I5/'R0030_LFP'!$I$24)*100</f>
        <v>0.1536626513792029</v>
      </c>
      <c r="J6" s="16">
        <f>('R0030_LFP'!J5/'R0030_LFP'!$J$24)*100</f>
        <v>0</v>
      </c>
      <c r="K6" s="16">
        <f>('R0030_LFP'!K5/'R0030_LFP'!$K$24)*100</f>
        <v>0.1182021052202533</v>
      </c>
      <c r="L6" s="16">
        <f>('R0030_LFP'!L5/'R0030_LFP'!$L$24)*100</f>
        <v>6.3878468310472586E-2</v>
      </c>
      <c r="M6" s="16">
        <f>('R0030_LFP'!M5/'R0030_LFP'!$M$24)*100</f>
        <v>0.10768344101677434</v>
      </c>
      <c r="N6" s="16">
        <f>('R0030_LFP'!N5/'R0030_LFP'!$N$24)*100</f>
        <v>0.70807073052486535</v>
      </c>
      <c r="O6" s="16">
        <f>('R0030_LFP'!O5/'R0030_LFP'!$O$24)*100</f>
        <v>0</v>
      </c>
      <c r="P6" s="16">
        <f>('R0030_LFP'!P5/'R0030_LFP'!$P$24)*100</f>
        <v>0.11060651407305234</v>
      </c>
      <c r="Q6" s="16">
        <f>('R0030_LFP'!Q5/'R0030_LFP'!$Q$24)*100</f>
        <v>0.19682553048164372</v>
      </c>
      <c r="R6" s="16">
        <f>('R0030_LFP'!R5/'R0030_LFP'!$R$24)*100</f>
        <v>0.41471729858169631</v>
      </c>
      <c r="S6" s="16">
        <f>('R0030_LFP'!S5/'R0030_LFP'!$S$24)*100</f>
        <v>0</v>
      </c>
      <c r="T6" s="16">
        <f>('R0030_LFP'!T5/'R0030_LFP'!$T$24)*100</f>
        <v>0</v>
      </c>
      <c r="U6" s="16">
        <f>('R0030_LFP'!U5/'R0030_LFP'!$U$24)*100</f>
        <v>0</v>
      </c>
      <c r="V6" s="16">
        <f>('R0030_LFP'!V5/'R0030_LFP'!$V$24)*100</f>
        <v>0</v>
      </c>
      <c r="W6" s="16">
        <f>('R0030_LFP'!W5/'R0030_LFP'!$W$24)*100</f>
        <v>0.38903834994988656</v>
      </c>
      <c r="X6" s="16">
        <f>('R0030_LFP'!X5/'R0030_LFP'!$X$24)*100</f>
        <v>0</v>
      </c>
      <c r="Y6" s="16">
        <f>('R0030_LFP'!Y5/'R0030_LFP'!$Y$24)*100</f>
        <v>0.41522887702066125</v>
      </c>
    </row>
    <row r="7" spans="1:25" x14ac:dyDescent="0.25">
      <c r="A7" s="2" t="s">
        <v>14</v>
      </c>
      <c r="B7" s="16">
        <f>('R0030_LFP'!B6/'R0030_LFP'!$B$24)*100</f>
        <v>0</v>
      </c>
      <c r="C7" s="16">
        <f>('R0030_LFP'!C6/'R0030_LFP'!$C$24)*100</f>
        <v>0</v>
      </c>
      <c r="D7" s="16">
        <f>('R0030_LFP'!D6/'R0030_LFP'!$D$24)*100</f>
        <v>2.3312531382253778E-2</v>
      </c>
      <c r="E7" s="16">
        <f>('R0030_LFP'!E6/'R0030_LFP'!$E$24)*100</f>
        <v>0</v>
      </c>
      <c r="F7" s="16">
        <f>('R0030_LFP'!F6/'R0030_LFP'!$F$24)*100</f>
        <v>0</v>
      </c>
      <c r="G7" s="16">
        <f>('R0030_LFP'!G6/'R0030_LFP'!$G$24)*100</f>
        <v>2.3030400128169183E-2</v>
      </c>
      <c r="H7" s="16">
        <f>('R0030_LFP'!H6/'R0030_LFP'!$H$24)*100</f>
        <v>0</v>
      </c>
      <c r="I7" s="16">
        <f>('R0030_LFP'!I6/'R0030_LFP'!$I$24)*100</f>
        <v>0</v>
      </c>
      <c r="J7" s="16">
        <f>('R0030_LFP'!J6/'R0030_LFP'!$J$24)*100</f>
        <v>0</v>
      </c>
      <c r="K7" s="16">
        <f>('R0030_LFP'!K6/'R0030_LFP'!$K$24)*100</f>
        <v>0</v>
      </c>
      <c r="L7" s="16">
        <f>('R0030_LFP'!L6/'R0030_LFP'!$L$24)*100</f>
        <v>0</v>
      </c>
      <c r="M7" s="16">
        <f>('R0030_LFP'!M6/'R0030_LFP'!$M$24)*100</f>
        <v>0</v>
      </c>
      <c r="N7" s="16">
        <f>('R0030_LFP'!N6/'R0030_LFP'!$N$24)*100</f>
        <v>3.6998290423821793E-2</v>
      </c>
      <c r="O7" s="16">
        <f>('R0030_LFP'!O6/'R0030_LFP'!$O$24)*100</f>
        <v>0</v>
      </c>
      <c r="P7" s="16">
        <f>('R0030_LFP'!P6/'R0030_LFP'!$P$24)*100</f>
        <v>0</v>
      </c>
      <c r="Q7" s="16">
        <f>('R0030_LFP'!Q6/'R0030_LFP'!$Q$24)*100</f>
        <v>0</v>
      </c>
      <c r="R7" s="16">
        <f>('R0030_LFP'!R6/'R0030_LFP'!$R$24)*100</f>
        <v>0</v>
      </c>
      <c r="S7" s="16">
        <f>('R0030_LFP'!S6/'R0030_LFP'!$S$24)*100</f>
        <v>0.46890949302483842</v>
      </c>
      <c r="T7" s="16">
        <f>('R0030_LFP'!T6/'R0030_LFP'!$T$24)*100</f>
        <v>0.61614984764294689</v>
      </c>
      <c r="U7" s="16">
        <f>('R0030_LFP'!U6/'R0030_LFP'!$U$24)*100</f>
        <v>0</v>
      </c>
      <c r="V7" s="16">
        <f>('R0030_LFP'!V6/'R0030_LFP'!$V$24)*100</f>
        <v>0</v>
      </c>
      <c r="W7" s="16">
        <f>('R0030_LFP'!W6/'R0030_LFP'!$W$24)*100</f>
        <v>0</v>
      </c>
      <c r="X7" s="16">
        <f>('R0030_LFP'!X6/'R0030_LFP'!$X$24)*100</f>
        <v>0</v>
      </c>
      <c r="Y7" s="16">
        <f>('R0030_LFP'!Y6/'R0030_LFP'!$Y$24)*100</f>
        <v>0</v>
      </c>
    </row>
    <row r="8" spans="1:25" x14ac:dyDescent="0.25">
      <c r="A8" s="2" t="s">
        <v>15</v>
      </c>
      <c r="B8" s="16">
        <f>('R0030_LFP'!B7/'R0030_LFP'!$B$24)*100</f>
        <v>0.48537394171807552</v>
      </c>
      <c r="C8" s="16">
        <f>('R0030_LFP'!C7/'R0030_LFP'!$C$24)*100</f>
        <v>0.48799666959618848</v>
      </c>
      <c r="D8" s="16">
        <f>('R0030_LFP'!D7/'R0030_LFP'!$D$24)*100</f>
        <v>0.63661143390000707</v>
      </c>
      <c r="E8" s="16">
        <f>('R0030_LFP'!E7/'R0030_LFP'!$E$24)*100</f>
        <v>0.36575964834588076</v>
      </c>
      <c r="F8" s="16">
        <f>('R0030_LFP'!F7/'R0030_LFP'!$F$24)*100</f>
        <v>0.30054235804843221</v>
      </c>
      <c r="G8" s="16">
        <f>('R0030_LFP'!G7/'R0030_LFP'!$G$24)*100</f>
        <v>0.46561461128689874</v>
      </c>
      <c r="H8" s="16">
        <f>('R0030_LFP'!H7/'R0030_LFP'!$H$24)*100</f>
        <v>0.26187257158865296</v>
      </c>
      <c r="I8" s="16">
        <f>('R0030_LFP'!I7/'R0030_LFP'!$I$24)*100</f>
        <v>0.17407936729671938</v>
      </c>
      <c r="J8" s="16">
        <f>('R0030_LFP'!J7/'R0030_LFP'!$J$24)*100</f>
        <v>0.21343427835051546</v>
      </c>
      <c r="K8" s="16">
        <f>('R0030_LFP'!K7/'R0030_LFP'!$K$24)*100</f>
        <v>8.457564425242263E-2</v>
      </c>
      <c r="L8" s="16">
        <f>('R0030_LFP'!L7/'R0030_LFP'!$L$24)*100</f>
        <v>0.10104412260020208</v>
      </c>
      <c r="M8" s="16">
        <f>('R0030_LFP'!M7/'R0030_LFP'!$M$24)*100</f>
        <v>0.47775047775047769</v>
      </c>
      <c r="N8" s="16">
        <f>('R0030_LFP'!N7/'R0030_LFP'!$N$24)*100</f>
        <v>0.39422316348141151</v>
      </c>
      <c r="O8" s="16">
        <f>('R0030_LFP'!O7/'R0030_LFP'!$O$24)*100</f>
        <v>0.15010471014054158</v>
      </c>
      <c r="P8" s="16">
        <f>('R0030_LFP'!P7/'R0030_LFP'!$P$24)*100</f>
        <v>4.0338846308995556E-2</v>
      </c>
      <c r="Q8" s="16">
        <f>('R0030_LFP'!Q7/'R0030_LFP'!$Q$24)*100</f>
        <v>6.1047490737622098E-2</v>
      </c>
      <c r="R8" s="16">
        <f>('R0030_LFP'!R7/'R0030_LFP'!$R$24)*100</f>
        <v>3.146538365039774</v>
      </c>
      <c r="S8" s="16">
        <f>('R0030_LFP'!S7/'R0030_LFP'!$S$24)*100</f>
        <v>0.25093569241238517</v>
      </c>
      <c r="T8" s="16">
        <f>('R0030_LFP'!T7/'R0030_LFP'!$T$24)*100</f>
        <v>0.19492740634522318</v>
      </c>
      <c r="U8" s="16">
        <f>('R0030_LFP'!U7/'R0030_LFP'!$U$24)*100</f>
        <v>0.28105934236683949</v>
      </c>
      <c r="V8" s="16">
        <f>('R0030_LFP'!V7/'R0030_LFP'!$V$24)*100</f>
        <v>0.55634452366660325</v>
      </c>
      <c r="W8" s="16">
        <f>('R0030_LFP'!W7/'R0030_LFP'!$W$24)*100</f>
        <v>0</v>
      </c>
      <c r="X8" s="16">
        <f>('R0030_LFP'!X7/'R0030_LFP'!$X$24)*100</f>
        <v>0.36280822993560541</v>
      </c>
      <c r="Y8" s="16">
        <f>('R0030_LFP'!Y7/'R0030_LFP'!$Y$24)*100</f>
        <v>0</v>
      </c>
    </row>
    <row r="9" spans="1:25" x14ac:dyDescent="0.25">
      <c r="A9" s="2" t="s">
        <v>16</v>
      </c>
      <c r="B9" s="16">
        <f>('R0030_LFP'!B8/'R0030_LFP'!$B$24)*100</f>
        <v>1.9433483391689359</v>
      </c>
      <c r="C9" s="16">
        <f>('R0030_LFP'!C8/'R0030_LFP'!$C$24)*100</f>
        <v>2.1624496970257643</v>
      </c>
      <c r="D9" s="16">
        <f>('R0030_LFP'!D8/'R0030_LFP'!$D$24)*100</f>
        <v>2.3169069650670684</v>
      </c>
      <c r="E9" s="16">
        <f>('R0030_LFP'!E8/'R0030_LFP'!$E$24)*100</f>
        <v>1.7336679296035693</v>
      </c>
      <c r="F9" s="16">
        <f>('R0030_LFP'!F8/'R0030_LFP'!$F$24)*100</f>
        <v>1.7756180693895882</v>
      </c>
      <c r="G9" s="16">
        <f>('R0030_LFP'!G8/'R0030_LFP'!$G$24)*100</f>
        <v>2.3521047783073663</v>
      </c>
      <c r="H9" s="16">
        <f>('R0030_LFP'!H8/'R0030_LFP'!$H$24)*100</f>
        <v>2.1912035176185429</v>
      </c>
      <c r="I9" s="16">
        <f>('R0030_LFP'!I8/'R0030_LFP'!$I$24)*100</f>
        <v>2.1867377311655796</v>
      </c>
      <c r="J9" s="16">
        <f>('R0030_LFP'!J8/'R0030_LFP'!$J$24)*100</f>
        <v>2.0548083118556701</v>
      </c>
      <c r="K9" s="16">
        <f>('R0030_LFP'!K8/'R0030_LFP'!$K$24)*100</f>
        <v>2.1592263876010067</v>
      </c>
      <c r="L9" s="16">
        <f>('R0030_LFP'!L8/'R0030_LFP'!$L$24)*100</f>
        <v>2.3042705659632294</v>
      </c>
      <c r="M9" s="16">
        <f>('R0030_LFP'!M8/'R0030_LFP'!$M$24)*100</f>
        <v>2.9302029302029302</v>
      </c>
      <c r="N9" s="16">
        <f>('R0030_LFP'!N8/'R0030_LFP'!$N$24)*100</f>
        <v>3.5531116838049557</v>
      </c>
      <c r="O9" s="16">
        <f>('R0030_LFP'!O8/'R0030_LFP'!$O$24)*100</f>
        <v>3.2260407461656726</v>
      </c>
      <c r="P9" s="16">
        <f>('R0030_LFP'!P8/'R0030_LFP'!$P$24)*100</f>
        <v>3.6109773712084738</v>
      </c>
      <c r="Q9" s="16">
        <f>('R0030_LFP'!Q8/'R0030_LFP'!$Q$24)*100</f>
        <v>3.2460424385314925</v>
      </c>
      <c r="R9" s="16">
        <f>('R0030_LFP'!R8/'R0030_LFP'!$R$24)*100</f>
        <v>3.592248771344658</v>
      </c>
      <c r="S9" s="16">
        <f>('R0030_LFP'!S8/'R0030_LFP'!$S$24)*100</f>
        <v>2.2945729840081657</v>
      </c>
      <c r="T9" s="16">
        <f>('R0030_LFP'!T8/'R0030_LFP'!$T$24)*100</f>
        <v>2.8757393798171718</v>
      </c>
      <c r="U9" s="16">
        <f>('R0030_LFP'!U8/'R0030_LFP'!$U$24)*100</f>
        <v>2.987683659712542</v>
      </c>
      <c r="V9" s="16">
        <f>('R0030_LFP'!V8/'R0030_LFP'!$V$24)*100</f>
        <v>3.474225143844341</v>
      </c>
      <c r="W9" s="16">
        <f>('R0030_LFP'!W8/'R0030_LFP'!$W$24)*100</f>
        <v>4.1145750909954106</v>
      </c>
      <c r="X9" s="16">
        <f>('R0030_LFP'!X8/'R0030_LFP'!$X$24)*100</f>
        <v>3.970472750117795</v>
      </c>
      <c r="Y9" s="16">
        <f>('R0030_LFP'!Y8/'R0030_LFP'!$Y$24)*100</f>
        <v>2.8106699503157171</v>
      </c>
    </row>
    <row r="10" spans="1:25" s="10" customFormat="1" x14ac:dyDescent="0.25">
      <c r="A10" s="14" t="s">
        <v>20</v>
      </c>
      <c r="B10" s="18">
        <f>(('R0030_LFP'!$B$26+'R0030_LFP'!$B$27)/'R0030_LFP'!$B$24)*100</f>
        <v>97.326738175957303</v>
      </c>
      <c r="C10" s="18">
        <f>(('R0030_LFP'!$C$26+'R0030_LFP'!$C$27)/'R0030_LFP'!$C$24)*100</f>
        <v>97.053517739025864</v>
      </c>
      <c r="D10" s="18">
        <f>(('R0030_LFP'!D26+'R0030_LFP'!D27)/'R0030_LFP'!D24)*100</f>
        <v>96.404490352198565</v>
      </c>
      <c r="E10" s="18">
        <f>(('R0030_LFP'!E26+'R0030_LFP'!E27)/'R0030_LFP'!E24)*100</f>
        <v>97.593859174334497</v>
      </c>
      <c r="F10" s="18">
        <f>(('R0030_LFP'!F26+'R0030_LFP'!F27)/'R0030_LFP'!F24)*100</f>
        <v>97.792568197782188</v>
      </c>
      <c r="G10" s="18">
        <f>(('R0030_LFP'!G26+'R0030_LFP'!G27)/'R0030_LFP'!G24)*100</f>
        <v>96.770737373332807</v>
      </c>
      <c r="H10" s="18">
        <f>(('R0030_LFP'!H26+'R0030_LFP'!H27)/'R0030_LFP'!H24)*100</f>
        <v>97.434866810392066</v>
      </c>
      <c r="I10" s="18">
        <f>(('R0030_LFP'!I26+'R0030_LFP'!I27)/'R0030_LFP'!I24)*100</f>
        <v>97.359796262666435</v>
      </c>
      <c r="J10" s="18">
        <f>(('R0030_LFP'!J26+'R0030_LFP'!J27)/'R0030_LFP'!J24)*100</f>
        <v>97.672358247422665</v>
      </c>
      <c r="K10" s="18">
        <f>(('R0030_LFP'!K26+'R0030_LFP'!K27)/'R0030_LFP'!K24)*100</f>
        <v>97.637995862926317</v>
      </c>
      <c r="L10" s="18">
        <f>(('R0030_LFP'!L26+'R0030_LFP'!L27)/'R0030_LFP'!L24)*100</f>
        <v>97.470412654905303</v>
      </c>
      <c r="M10" s="18">
        <f>(('R0030_LFP'!M26+'R0030_LFP'!M27)/'R0030_LFP'!M24)*100</f>
        <v>96.484363151029811</v>
      </c>
      <c r="N10" s="18">
        <f>(('R0030_LFP'!N26+'R0030_LFP'!N27)/'R0030_LFP'!N24)*100</f>
        <v>95.140465923298706</v>
      </c>
      <c r="O10" s="18">
        <f>(('R0030_LFP'!O26+'R0030_LFP'!O27)/'R0030_LFP'!O24)*100</f>
        <v>96.297013642581319</v>
      </c>
      <c r="P10" s="18">
        <f>(('R0030_LFP'!P26+'R0030_LFP'!P27)/'R0030_LFP'!P24)*100</f>
        <v>96.238077268409455</v>
      </c>
      <c r="Q10" s="18">
        <f>(('R0030_LFP'!Q26+'R0030_LFP'!Q27)/'R0030_LFP'!Q24)*100</f>
        <v>96.361359043448985</v>
      </c>
      <c r="R10" s="18">
        <f>(('R0030_LFP'!R26+'R0030_LFP'!R27)/'R0030_LFP'!R24)*100</f>
        <v>92.846495565033877</v>
      </c>
      <c r="S10" s="18">
        <f>(('R0030_LFP'!S26+'R0030_LFP'!S27)/'R0030_LFP'!S24)*100</f>
        <v>96.985581830554608</v>
      </c>
      <c r="T10" s="18">
        <f>(('R0030_LFP'!T26+'R0030_LFP'!T27)/'R0030_LFP'!T24)*100</f>
        <v>95.225398816992296</v>
      </c>
      <c r="U10" s="18">
        <f>(('R0030_LFP'!U26+'R0030_LFP'!U27)/'R0030_LFP'!U24)*100</f>
        <v>96.731256997920596</v>
      </c>
      <c r="V10" s="18">
        <f>(('R0030_LFP'!V26+'R0030_LFP'!V27)/'R0030_LFP'!V24)*100</f>
        <v>95.969430332489054</v>
      </c>
      <c r="W10" s="18">
        <f>(('R0030_LFP'!W26+'R0030_LFP'!W27)/'R0030_LFP'!W24)*100</f>
        <v>95.496386559054699</v>
      </c>
      <c r="X10" s="18">
        <f>(('R0030_LFP'!X26+'R0030_LFP'!X27)/'R0030_LFP'!X24)*100</f>
        <v>95.666719019946598</v>
      </c>
      <c r="Y10" s="18">
        <f>(('R0030_LFP'!Y26+'R0030_LFP'!Y27)/'R0030_LFP'!Y24)*100</f>
        <v>96.774101172663634</v>
      </c>
    </row>
    <row r="11" spans="1:25" s="11" customFormat="1" x14ac:dyDescent="0.25">
      <c r="A11" s="15" t="s">
        <v>17</v>
      </c>
      <c r="B11" s="17">
        <f>('R0030_LFP'!B26)/'R0030_LFP'!$B$24*100</f>
        <v>64.586227977546827</v>
      </c>
      <c r="C11" s="17">
        <f>('R0030_LFP'!C26)/'R0030_LFP'!$C$24*100</f>
        <v>64.302234145890196</v>
      </c>
      <c r="D11" s="17">
        <f>('R0030_LFP'!D26)/'R0030_LFP'!D24*100</f>
        <v>62.411233053582961</v>
      </c>
      <c r="E11" s="17">
        <f>('R0030_LFP'!E26)/'R0030_LFP'!E24*100</f>
        <v>63.355147698010462</v>
      </c>
      <c r="F11" s="17">
        <f>('R0030_LFP'!F26)/'R0030_LFP'!F24*100</f>
        <v>64.043158343217073</v>
      </c>
      <c r="G11" s="17">
        <f>('R0030_LFP'!G26)/'R0030_LFP'!G24*100</f>
        <v>62.528537669724038</v>
      </c>
      <c r="H11" s="17">
        <f>('R0030_LFP'!H26)/'R0030_LFP'!H24*100</f>
        <v>60.97855080936894</v>
      </c>
      <c r="I11" s="17">
        <f>('R0030_LFP'!I26)/'R0030_LFP'!I24*100</f>
        <v>61.786355186383126</v>
      </c>
      <c r="J11" s="17">
        <f>('R0030_LFP'!J26)/'R0030_LFP'!J24*100</f>
        <v>62.638933634020624</v>
      </c>
      <c r="K11" s="17">
        <f>('R0030_LFP'!K26)/'R0030_LFP'!K24*100</f>
        <v>58.004626185842234</v>
      </c>
      <c r="L11" s="17">
        <f>('R0030_LFP'!L26)/'R0030_LFP'!L24*100</f>
        <v>55.409344839200479</v>
      </c>
      <c r="M11" s="17">
        <f>('R0030_LFP'!M26)/'R0030_LFP'!M24*100</f>
        <v>57.680407680407676</v>
      </c>
      <c r="N11" s="17">
        <f>('R0030_LFP'!N26)/'R0030_LFP'!N24*100</f>
        <v>52.492919292694751</v>
      </c>
      <c r="O11" s="17">
        <f>('R0030_LFP'!O26)/'R0030_LFP'!O24*100</f>
        <v>49.691922187655109</v>
      </c>
      <c r="P11" s="17">
        <f>('R0030_LFP'!P26)/'R0030_LFP'!P24*100</f>
        <v>52.942783900896565</v>
      </c>
      <c r="Q11" s="17">
        <f>('R0030_LFP'!Q26)/'R0030_LFP'!Q24*100</f>
        <v>53.483917143819461</v>
      </c>
      <c r="R11" s="17">
        <f>('R0030_LFP'!R26)/'R0030_LFP'!R24*100</f>
        <v>46.412916746609213</v>
      </c>
      <c r="S11" s="17">
        <f>('R0030_LFP'!S26)/'R0030_LFP'!S24*100</f>
        <v>55.16225757060225</v>
      </c>
      <c r="T11" s="17">
        <f>('R0030_LFP'!T26)/'R0030_LFP'!T24*100</f>
        <v>50.947750492919873</v>
      </c>
      <c r="U11" s="17">
        <f>('R0030_LFP'!U26)/'R0030_LFP'!U24*100</f>
        <v>55.340127504969963</v>
      </c>
      <c r="V11" s="17">
        <f>('R0030_LFP'!V26)/'R0030_LFP'!V24*100</f>
        <v>41.569184369647012</v>
      </c>
      <c r="W11" s="17">
        <f>('R0030_LFP'!W26)/'R0030_LFP'!W24*100</f>
        <v>48.842116368623728</v>
      </c>
      <c r="X11" s="17">
        <f>('R0030_LFP'!X26)/'R0030_LFP'!X24*100</f>
        <v>42.867912674729062</v>
      </c>
      <c r="Y11" s="17">
        <f>('R0030_LFP'!Y26)/'R0030_LFP'!Y24*100</f>
        <v>40.365974141263727</v>
      </c>
    </row>
    <row r="12" spans="1:25" x14ac:dyDescent="0.25">
      <c r="A12" s="2" t="s">
        <v>8</v>
      </c>
      <c r="B12" s="16">
        <f>('R0030_LFP'!B11/'R0030_LFP'!$B$24)*100</f>
        <v>62.750328831582657</v>
      </c>
      <c r="C12" s="16">
        <f>('R0030_LFP'!C11/'R0030_LFP'!C24)*100</f>
        <v>61.59165548822795</v>
      </c>
      <c r="D12" s="16">
        <f>('R0030_LFP'!D11/'R0030_LFP'!$D$24)*100</f>
        <v>60.252133993257296</v>
      </c>
      <c r="E12" s="16">
        <f>('R0030_LFP'!E11/'R0030_LFP'!$E$24)*100</f>
        <v>61.035936295494444</v>
      </c>
      <c r="F12" s="16">
        <f>('R0030_LFP'!F11/'R0030_LFP'!$F$24)*100</f>
        <v>61.927846804002627</v>
      </c>
      <c r="G12" s="16">
        <f>('R0030_LFP'!G11/'R0030_LFP'!$G$24)*100</f>
        <v>59.270236712460459</v>
      </c>
      <c r="H12" s="16">
        <f>('R0030_LFP'!H11/'R0030_LFP'!$H$24)*100</f>
        <v>58.449957978587342</v>
      </c>
      <c r="I12" s="16">
        <f>('R0030_LFP'!I11/'R0030_LFP'!$I$24)*100</f>
        <v>57.724503282793016</v>
      </c>
      <c r="J12" s="16">
        <f>('R0030_LFP'!J11/'R0030_LFP'!$J$24)*100</f>
        <v>52.352810889175259</v>
      </c>
      <c r="K12" s="16">
        <f>('R0030_LFP'!K11/'R0030_LFP'!$K$24)*100</f>
        <v>52.618278528995177</v>
      </c>
      <c r="L12" s="16">
        <f>('R0030_LFP'!L11/'R0030_LFP'!$L$24)*100</f>
        <v>50.626589702790916</v>
      </c>
      <c r="M12" s="16">
        <f>('R0030_LFP'!M11/'R0030_LFP'!$M$24)*100</f>
        <v>52.537385870719199</v>
      </c>
      <c r="N12" s="16">
        <f>('R0030_LFP'!N11/'R0030_LFP'!$N$24)*100</f>
        <v>48.853052996861521</v>
      </c>
      <c r="O12" s="16">
        <f>('R0030_LFP'!O11/'R0030_LFP'!$O$24)*100</f>
        <v>44.139258434311031</v>
      </c>
      <c r="P12" s="16">
        <f>('R0030_LFP'!P11/'R0030_LFP'!$P$24)*100</f>
        <v>48.730627594373374</v>
      </c>
      <c r="Q12" s="16">
        <f>('R0030_LFP'!Q11/'R0030_LFP'!$Q$24)*100</f>
        <v>48.352770293027966</v>
      </c>
      <c r="R12" s="16">
        <f>('R0030_LFP'!R11/'R0030_LFP'!$R$24)*100</f>
        <v>41.397936744543003</v>
      </c>
      <c r="S12" s="16">
        <f>('R0030_LFP'!S11/'R0030_LFP'!$S$24)*100</f>
        <v>49.392863218781898</v>
      </c>
      <c r="T12" s="16">
        <f>('R0030_LFP'!T11/'R0030_LFP'!$T$24)*100</f>
        <v>44.716795124574297</v>
      </c>
      <c r="U12" s="16">
        <f>('R0030_LFP'!U11/'R0030_LFP'!$U$24)*100</f>
        <v>48.698672394488497</v>
      </c>
      <c r="V12" s="16">
        <f>('R0030_LFP'!V11/'R0030_LFP'!$V$24)*100</f>
        <v>37.882669868087788</v>
      </c>
      <c r="W12" s="16">
        <f>('R0030_LFP'!W11/'R0030_LFP'!$W$24)*100</f>
        <v>39.229572189692462</v>
      </c>
      <c r="X12" s="16">
        <f>('R0030_LFP'!X11/'R0030_LFP'!$X$24)*100</f>
        <v>37.268729385896023</v>
      </c>
      <c r="Y12" s="16">
        <f>('R0030_LFP'!Y11/'R0030_LFP'!$Y$24)*100</f>
        <v>35.179908649647054</v>
      </c>
    </row>
    <row r="13" spans="1:25" x14ac:dyDescent="0.25">
      <c r="A13" s="2" t="s">
        <v>6</v>
      </c>
      <c r="B13" s="16">
        <f>('R0030_LFP'!B12/'R0030_LFP'!$B$24)*100</f>
        <v>1.1930565590322162</v>
      </c>
      <c r="C13" s="16">
        <f>('R0030_LFP'!C12/'R0030_LFP'!$C$24)*100</f>
        <v>2.0074934085757898</v>
      </c>
      <c r="D13" s="16">
        <f>('R0030_LFP'!D12/'R0030_LFP'!$D$24)*100</f>
        <v>1.7663725701169211</v>
      </c>
      <c r="E13" s="16">
        <f>('R0030_LFP'!E12/'R0030_LFP'!$E$24)*100</f>
        <v>1.5827715724384528</v>
      </c>
      <c r="F13" s="16">
        <f>('R0030_LFP'!F12/'R0030_LFP'!$F$24)*100</f>
        <v>1.0824130902893727</v>
      </c>
      <c r="G13" s="16">
        <f>('R0030_LFP'!G12/'R0030_LFP'!$G$24)*100</f>
        <v>2.2689950734970163</v>
      </c>
      <c r="H13" s="16">
        <f>('R0030_LFP'!H12/'R0030_LFP'!$H$24)*100</f>
        <v>0.57611965749503657</v>
      </c>
      <c r="I13" s="16">
        <f>('R0030_LFP'!I12/'R0030_LFP'!$I$24)*100</f>
        <v>2.2533606988964232</v>
      </c>
      <c r="J13" s="16">
        <f>('R0030_LFP'!J12/'R0030_LFP'!$J$24)*100</f>
        <v>5.4677432345360826</v>
      </c>
      <c r="K13" s="16">
        <f>('R0030_LFP'!K12/'R0030_LFP'!$K$24)*100</f>
        <v>2.4608455526457909</v>
      </c>
      <c r="L13" s="16">
        <f>('R0030_LFP'!L12/'R0030_LFP'!$L$24)*100</f>
        <v>1.2264665915610737</v>
      </c>
      <c r="M13" s="16">
        <f>('R0030_LFP'!M12/'R0030_LFP'!$M$24)*100</f>
        <v>3.3397033397033393</v>
      </c>
      <c r="N13" s="16">
        <f>('R0030_LFP'!N12/'R0030_LFP'!$N$24)*100</f>
        <v>2.4457145773264268</v>
      </c>
      <c r="O13" s="16">
        <f>('R0030_LFP'!O12/'R0030_LFP'!$O$24)*100</f>
        <v>2.5808325969325376</v>
      </c>
      <c r="P13" s="16">
        <f>('R0030_LFP'!P12/'R0030_LFP'!$P$24)*100</f>
        <v>3.1581412900623294</v>
      </c>
      <c r="Q13" s="16">
        <f>('R0030_LFP'!Q12/'R0030_LFP'!$Q$24)*100</f>
        <v>3.8365190299764236</v>
      </c>
      <c r="R13" s="16">
        <f>('R0030_LFP'!R12/'R0030_LFP'!$R$24)*100</f>
        <v>1.8477795652109743</v>
      </c>
      <c r="S13" s="16">
        <f>('R0030_LFP'!S12/'R0030_LFP'!$S$24)*100</f>
        <v>2.710318135420211</v>
      </c>
      <c r="T13" s="16">
        <f>('R0030_LFP'!T12/'R0030_LFP'!$T$24)*100</f>
        <v>1.3252823086574657</v>
      </c>
      <c r="U13" s="16">
        <f>('R0030_LFP'!U12/'R0030_LFP'!$U$24)*100</f>
        <v>2.1113726207069896</v>
      </c>
      <c r="V13" s="16">
        <f>('R0030_LFP'!V12/'R0030_LFP'!$V$24)*100</f>
        <v>0.39383336017451653</v>
      </c>
      <c r="W13" s="16">
        <f>('R0030_LFP'!W12/'R0030_LFP'!$W$24)*100</f>
        <v>0.97853035817903677</v>
      </c>
      <c r="X13" s="16">
        <f>('R0030_LFP'!X12/'R0030_LFP'!$X$24)*100</f>
        <v>0.70676927909533516</v>
      </c>
      <c r="Y13" s="16">
        <f>('R0030_LFP'!Y12/'R0030_LFP'!$Y$24)*100</f>
        <v>2.2035766956372336</v>
      </c>
    </row>
    <row r="14" spans="1:25" x14ac:dyDescent="0.25">
      <c r="A14" s="2" t="s">
        <v>14</v>
      </c>
      <c r="B14" s="16">
        <f>('R0030_LFP'!B13/'R0030_LFP'!$B$24)*100</f>
        <v>0.33161044109746385</v>
      </c>
      <c r="C14" s="16">
        <f>('R0030_LFP'!C13/'R0030_LFP'!$C$24)*100</f>
        <v>0.40936213515888797</v>
      </c>
      <c r="D14" s="16">
        <f>('R0030_LFP'!D13/'R0030_LFP'!$D$24)*100</f>
        <v>9.3250125529015113E-2</v>
      </c>
      <c r="E14" s="16">
        <f>('R0030_LFP'!E13/'R0030_LFP'!$E$24)*100</f>
        <v>0.12957404582656765</v>
      </c>
      <c r="F14" s="16">
        <f>('R0030_LFP'!F13/'R0030_LFP'!$F$24)*100</f>
        <v>1.0018078601614406</v>
      </c>
      <c r="G14" s="16">
        <f>('R0030_LFP'!G13/'R0030_LFP'!$G$24)*100</f>
        <v>0.18123923579124449</v>
      </c>
      <c r="H14" s="16">
        <f>('R0030_LFP'!H13/'R0030_LFP'!$H$24)*100</f>
        <v>1.0779405853765482</v>
      </c>
      <c r="I14" s="16">
        <f>('R0030_LFP'!I13/'R0030_LFP'!$I$24)*100</f>
        <v>0.60712865754720025</v>
      </c>
      <c r="J14" s="16">
        <f>('R0030_LFP'!J13/'R0030_LFP'!$J$24)*100</f>
        <v>1.3853092783505154</v>
      </c>
      <c r="K14" s="16">
        <f>('R0030_LFP'!K13/'R0030_LFP'!$K$24)*100</f>
        <v>0.44020094357887446</v>
      </c>
      <c r="L14" s="16">
        <f>('R0030_LFP'!L13/'R0030_LFP'!$L$24)*100</f>
        <v>0.29035667413851179</v>
      </c>
      <c r="M14" s="16">
        <f>('R0030_LFP'!M13/'R0030_LFP'!$M$24)*100</f>
        <v>0.62183395516728845</v>
      </c>
      <c r="N14" s="16">
        <f>('R0030_LFP'!N13/'R0030_LFP'!$N$24)*100</f>
        <v>0.64172896838559867</v>
      </c>
      <c r="O14" s="16">
        <f>('R0030_LFP'!O13/'R0030_LFP'!$O$24)*100</f>
        <v>1.1560483724533648</v>
      </c>
      <c r="P14" s="16">
        <f>('R0030_LFP'!P13/'R0030_LFP'!$P$24)*100</f>
        <v>0.36435086988770182</v>
      </c>
      <c r="Q14" s="16">
        <f>('R0030_LFP'!Q13/'R0030_LFP'!$Q$24)*100</f>
        <v>0.41364937689457743</v>
      </c>
      <c r="R14" s="16">
        <f>('R0030_LFP'!R13/'R0030_LFP'!$R$24)*100</f>
        <v>2.6565520905589088</v>
      </c>
      <c r="S14" s="16">
        <f>('R0030_LFP'!S13/'R0030_LFP'!$S$24)*100</f>
        <v>2.714571282749235</v>
      </c>
      <c r="T14" s="16">
        <f>('R0030_LFP'!T13/'R0030_LFP'!$T$24)*100</f>
        <v>3.2823982792615163</v>
      </c>
      <c r="U14" s="16">
        <f>('R0030_LFP'!U13/'R0030_LFP'!$U$24)*100</f>
        <v>4.2307428649772634</v>
      </c>
      <c r="V14" s="16">
        <f>('R0030_LFP'!V13/'R0030_LFP'!$V$24)*100</f>
        <v>3.2926811413847124</v>
      </c>
      <c r="W14" s="16">
        <f>('R0030_LFP'!W13/'R0030_LFP'!$W$24)*100</f>
        <v>2.8591021786147595</v>
      </c>
      <c r="X14" s="16">
        <f>('R0030_LFP'!X13/'R0030_LFP'!$X$24)*100</f>
        <v>2.2930736610648652</v>
      </c>
      <c r="Y14" s="16">
        <f>('R0030_LFP'!Y13/'R0030_LFP'!$Y$24)*100</f>
        <v>1.6909838060737963</v>
      </c>
    </row>
    <row r="15" spans="1:25" x14ac:dyDescent="0.25">
      <c r="A15" s="2" t="s">
        <v>15</v>
      </c>
      <c r="B15" s="16">
        <f>('R0030_LFP'!B14/'R0030_LFP'!$B$24)*100</f>
        <v>0.31123214583449121</v>
      </c>
      <c r="C15" s="16">
        <f>('R0030_LFP'!C14/'R0030_LFP'!$C$24)*100</f>
        <v>0.24978028585966047</v>
      </c>
      <c r="D15" s="16">
        <f>('R0030_LFP'!D14/'R0030_LFP'!$D$24)*100</f>
        <v>0.27975037658704538</v>
      </c>
      <c r="E15" s="16">
        <f>('R0030_LFP'!E14/'R0030_LFP'!$E$24)*100</f>
        <v>0.55602027259754971</v>
      </c>
      <c r="F15" s="16">
        <f>('R0030_LFP'!F14/'R0030_LFP'!$F$24)*100</f>
        <v>3.1090588763630921E-2</v>
      </c>
      <c r="G15" s="16">
        <f>('R0030_LFP'!G14/'R0030_LFP'!$G$24)*100</f>
        <v>0.76500981295309811</v>
      </c>
      <c r="H15" s="16">
        <f>('R0030_LFP'!H14/'R0030_LFP'!$H$24)*100</f>
        <v>0.83190216927930216</v>
      </c>
      <c r="I15" s="16">
        <f>('R0030_LFP'!I14/'R0030_LFP'!$I$24)*100</f>
        <v>1.1476343473635575</v>
      </c>
      <c r="J15" s="16">
        <f>('R0030_LFP'!J14/'R0030_LFP'!$J$24)*100</f>
        <v>3.3293733891752573</v>
      </c>
      <c r="K15" s="16">
        <f>('R0030_LFP'!K14/'R0030_LFP'!$K$24)*100</f>
        <v>2.4853011606223951</v>
      </c>
      <c r="L15" s="16">
        <f>('R0030_LFP'!L14/'R0030_LFP'!$L$24)*100</f>
        <v>3.1428206408752519</v>
      </c>
      <c r="M15" s="16">
        <f>('R0030_LFP'!M14/'R0030_LFP'!$M$24)*100</f>
        <v>1.1268844602177934</v>
      </c>
      <c r="N15" s="16">
        <f>('R0030_LFP'!N14/'R0030_LFP'!$N$24)*100</f>
        <v>0.55242275012120123</v>
      </c>
      <c r="O15" s="16">
        <f>('R0030_LFP'!O14/'R0030_LFP'!$O$24)*100</f>
        <v>1.7298357321841447</v>
      </c>
      <c r="P15" s="16">
        <f>('R0030_LFP'!P14/'R0030_LFP'!$P$24)*100</f>
        <v>0.63891527541021997</v>
      </c>
      <c r="Q15" s="16">
        <f>('R0030_LFP'!Q14/'R0030_LFP'!$Q$24)*100</f>
        <v>0.84308689794543645</v>
      </c>
      <c r="R15" s="16">
        <f>('R0030_LFP'!R14/'R0030_LFP'!$R$24)*100</f>
        <v>0.51064834629632361</v>
      </c>
      <c r="S15" s="16">
        <f>('R0030_LFP'!S14/'R0030_LFP'!$S$24)*100</f>
        <v>0.22010037427696497</v>
      </c>
      <c r="T15" s="16">
        <f>('R0030_LFP'!T14/'R0030_LFP'!$T$24)*100</f>
        <v>1.4697974547409933</v>
      </c>
      <c r="U15" s="16">
        <f>('R0030_LFP'!U14/'R0030_LFP'!$U$24)*100</f>
        <v>0.29933962479720311</v>
      </c>
      <c r="V15" s="16">
        <f>('R0030_LFP'!V14/'R0030_LFP'!$V$24)*100</f>
        <v>0</v>
      </c>
      <c r="W15" s="16">
        <f>('R0030_LFP'!W14/'R0030_LFP'!$W$24)*100</f>
        <v>5.7749116421374698</v>
      </c>
      <c r="X15" s="16">
        <f>('R0030_LFP'!X14/'R0030_LFP'!$X$24)*100</f>
        <v>2.5993403486728441</v>
      </c>
      <c r="Y15" s="16">
        <f>('R0030_LFP'!Y14/'R0030_LFP'!$Y$24)*100</f>
        <v>1.291504989905643</v>
      </c>
    </row>
    <row r="16" spans="1:25" x14ac:dyDescent="0.25">
      <c r="A16" s="2" t="s">
        <v>16</v>
      </c>
      <c r="B16" s="16">
        <v>0</v>
      </c>
      <c r="C16" s="16">
        <f>('R0030_LFP'!C15/'R0030_LFP'!$C$24)*100</f>
        <v>4.3942828067903235E-2</v>
      </c>
      <c r="D16" s="16">
        <f>('R0030_LFP'!D15/'R0030_LFP'!$D$24)*100</f>
        <v>1.9725988092676276E-2</v>
      </c>
      <c r="E16" s="16">
        <f>('R0030_LFP'!E15/'R0030_LFP'!$E$24)*100</f>
        <v>5.0845511653463245E-2</v>
      </c>
      <c r="F16" s="16">
        <f>('R0030_LFP'!F15/'R0030_LFP'!$F$24)*100</f>
        <v>0</v>
      </c>
      <c r="G16" s="16">
        <f>('R0030_LFP'!G15/'R0030_LFP'!$G$24)*100</f>
        <v>4.3056835022229345E-2</v>
      </c>
      <c r="H16" s="16">
        <f>('R0030_LFP'!H15/'R0030_LFP'!$H$24)*100</f>
        <v>4.2630418630710952E-2</v>
      </c>
      <c r="I16" s="16">
        <f>('R0030_LFP'!I15/'R0030_LFP'!$I$24)*100</f>
        <v>5.372819978293808E-2</v>
      </c>
      <c r="J16" s="16">
        <f>('R0030_LFP'!J15/'R0030_LFP'!$J$24)*100</f>
        <v>0.10369684278350516</v>
      </c>
      <c r="K16" s="25">
        <v>0</v>
      </c>
      <c r="L16" s="16">
        <f>('R0030_LFP'!L15/'R0030_LFP'!$L$24)*100</f>
        <v>0.123111229834729</v>
      </c>
      <c r="M16" s="16">
        <f>('R0030_LFP'!M15/'R0030_LFP'!$M$24)*100</f>
        <v>5.4600054600054591E-2</v>
      </c>
      <c r="N16" s="16">
        <f>('R0030_LFP'!N15/'R0030_LFP'!$N$24)*100</f>
        <v>0</v>
      </c>
      <c r="O16" s="16">
        <f>('R0030_LFP'!O15/'R0030_LFP'!$O$24)*100</f>
        <v>8.5947051774019789E-2</v>
      </c>
      <c r="P16" s="16">
        <f>('R0030_LFP'!P15/'R0030_LFP'!$P$24)*100</f>
        <v>5.0748871162929893E-2</v>
      </c>
      <c r="Q16" s="16">
        <f>('R0030_LFP'!Q15/'R0030_LFP'!$Q$24)*100</f>
        <v>3.789154597507579E-2</v>
      </c>
      <c r="R16" s="25">
        <v>0</v>
      </c>
      <c r="S16" s="16">
        <f>('R0030_LFP'!S15/'R0030_LFP'!$S$24)*100</f>
        <v>0.12440455937393671</v>
      </c>
      <c r="T16" s="16">
        <f>('R0030_LFP'!T15/'R0030_LFP'!$T$24)*100</f>
        <v>0.15347732568560676</v>
      </c>
      <c r="U16" s="16">
        <f>('R0030_LFP'!U15/'R0030_LFP'!$U$24)*100</f>
        <v>0</v>
      </c>
      <c r="V16" s="25">
        <v>0</v>
      </c>
      <c r="W16" s="16">
        <f>('R0030_LFP'!W15/'R0030_LFP'!$W$24)*100</f>
        <v>0</v>
      </c>
      <c r="X16" s="16">
        <f>('R0030_LFP'!X15/'R0030_LFP'!$X$24)*100</f>
        <v>0</v>
      </c>
      <c r="Y16" s="25">
        <v>0</v>
      </c>
    </row>
    <row r="17" spans="1:25" s="20" customFormat="1" x14ac:dyDescent="0.25">
      <c r="A17" s="12" t="s">
        <v>18</v>
      </c>
      <c r="B17" s="19">
        <f>('R0030_LFP'!B27/'R0030_LFP'!$B$24)*100</f>
        <v>32.74051019841049</v>
      </c>
      <c r="C17" s="19">
        <f>('R0030_LFP'!C27/'R0030_LFP'!$C$24)*100</f>
        <v>32.751283593135661</v>
      </c>
      <c r="D17" s="19">
        <f>('R0030_LFP'!D27/'R0030_LFP'!D24)*100</f>
        <v>33.993257298615589</v>
      </c>
      <c r="E17" s="19">
        <f>('R0030_LFP'!E27/'R0030_LFP'!E24)*100</f>
        <v>34.238711476324028</v>
      </c>
      <c r="F17" s="19">
        <f>('R0030_LFP'!F27/'R0030_LFP'!F24)*100</f>
        <v>33.749409854565137</v>
      </c>
      <c r="G17" s="19">
        <f>('R0030_LFP'!G27/'R0030_LFP'!G24)*100</f>
        <v>34.242199703608769</v>
      </c>
      <c r="H17" s="19">
        <f>('R0030_LFP'!H27/'R0030_LFP'!H24)*100</f>
        <v>36.456316001023126</v>
      </c>
      <c r="I17" s="19">
        <f>('R0030_LFP'!I27/'R0030_LFP'!I24)*100</f>
        <v>35.573441076283302</v>
      </c>
      <c r="J17" s="19">
        <f>('R0030_LFP'!J27/'R0030_LFP'!J24)*100</f>
        <v>35.033424613402062</v>
      </c>
      <c r="K17" s="19">
        <f>('R0030_LFP'!K27/'R0030_LFP'!K24)*100</f>
        <v>39.633369677084076</v>
      </c>
      <c r="L17" s="19">
        <f>('R0030_LFP'!L27/'R0030_LFP'!L24)*100</f>
        <v>42.06106781570481</v>
      </c>
      <c r="M17" s="19">
        <f>('R0030_LFP'!M27/'R0030_LFP'!M24)*100</f>
        <v>38.803955470622135</v>
      </c>
      <c r="N17" s="19">
        <f>('R0030_LFP'!N27/'R0030_LFP'!N24)*100</f>
        <v>42.647546630603962</v>
      </c>
      <c r="O17" s="19">
        <f>('R0030_LFP'!O27/'R0030_LFP'!O24)*100</f>
        <v>46.605091454926217</v>
      </c>
      <c r="P17" s="19">
        <f>('R0030_LFP'!P27/'R0030_LFP'!P24)*100</f>
        <v>43.295293367512912</v>
      </c>
      <c r="Q17" s="19">
        <f>('R0030_LFP'!Q27/'R0030_LFP'!Q24)*100</f>
        <v>42.877441899629517</v>
      </c>
      <c r="R17" s="19">
        <f>('R0030_LFP'!R27/'R0030_LFP'!R24)*100</f>
        <v>46.433578818424657</v>
      </c>
      <c r="S17" s="19">
        <f>('R0030_LFP'!S27/'R0030_LFP'!S24)*100</f>
        <v>41.823324259952365</v>
      </c>
      <c r="T17" s="19">
        <f>('R0030_LFP'!T27/'R0030_LFP'!T24)*100</f>
        <v>44.277648324072416</v>
      </c>
      <c r="U17" s="19">
        <f>('R0030_LFP'!U27/'R0030_LFP'!U24)*100</f>
        <v>41.391129492950654</v>
      </c>
      <c r="V17" s="19">
        <f>('R0030_LFP'!V27/'R0030_LFP'!V24)*100</f>
        <v>54.400245962842043</v>
      </c>
      <c r="W17" s="19">
        <f>('R0030_LFP'!W27/'R0030_LFP'!W24)*100</f>
        <v>46.654270190430978</v>
      </c>
      <c r="X17" s="19">
        <f>('R0030_LFP'!X27/'R0030_LFP'!X24)*100</f>
        <v>52.798806345217528</v>
      </c>
      <c r="Y17" s="19">
        <f>('R0030_LFP'!Y27/'R0030_LFP'!Y24)*100</f>
        <v>56.408127031399893</v>
      </c>
    </row>
    <row r="18" spans="1:25" x14ac:dyDescent="0.25">
      <c r="A18" s="2" t="s">
        <v>8</v>
      </c>
      <c r="B18" s="16">
        <f>('R0030_LFP'!B18/'R0030_LFP'!$B$24)*100</f>
        <v>6.8545174975453413E-2</v>
      </c>
      <c r="C18" s="25">
        <v>0</v>
      </c>
      <c r="D18" s="16">
        <f>('R0030_LFP'!D18/'R0030_LFP'!$D$24)*100</f>
        <v>2.3312531382253778E-2</v>
      </c>
      <c r="E18" s="16">
        <f>('R0030_LFP'!E18/'R0030_LFP'!$E$24)*100</f>
        <v>3.2803555905460156E-2</v>
      </c>
      <c r="F18" s="16">
        <f>('R0030_LFP'!F18/'R0030_LFP'!$F$24)*100</f>
        <v>2.1878562463295833E-2</v>
      </c>
      <c r="G18" s="16">
        <f>('R0030_LFP'!G18/'R0030_LFP'!$G$24)*100</f>
        <v>2.2029078383466179E-2</v>
      </c>
      <c r="H18" s="25">
        <v>0</v>
      </c>
      <c r="I18" s="16">
        <f>('R0030_LFP'!I18/'R0030_LFP'!$I$24)*100</f>
        <v>9.4561631617971029E-2</v>
      </c>
      <c r="J18" s="16">
        <f>('R0030_LFP'!J18/'R0030_LFP'!$J$24)*100</f>
        <v>0</v>
      </c>
      <c r="K18" s="16">
        <f>('R0030_LFP'!K18/'R0030_LFP'!$K$24)*100</f>
        <v>9.2727513577957346E-2</v>
      </c>
      <c r="L18" s="16">
        <f>('R0030_LFP'!L18/'R0030_LFP'!$L$24)*100</f>
        <v>0.65039895007026638</v>
      </c>
      <c r="M18" s="16">
        <f>('R0030_LFP'!M18/'R0030_LFP'!$M$24)*100</f>
        <v>6.6733400066733395E-2</v>
      </c>
      <c r="N18" s="16">
        <f>('R0030_LFP'!N18/'R0030_LFP'!$N$24)*100</f>
        <v>0</v>
      </c>
      <c r="O18" s="16">
        <f>('R0030_LFP'!O18/'R0030_LFP'!$O$24)*100</f>
        <v>0</v>
      </c>
      <c r="P18" s="16">
        <f>('R0030_LFP'!P18/'R0030_LFP'!$P$24)*100</f>
        <v>0</v>
      </c>
      <c r="Q18" s="16">
        <f>('R0030_LFP'!Q18/'R0030_LFP'!$Q$24)*100</f>
        <v>0</v>
      </c>
      <c r="R18" s="16">
        <f>('R0030_LFP'!R18/'R0030_LFP'!$R$24)*100</f>
        <v>0.97997254896173092</v>
      </c>
      <c r="S18" s="16">
        <f>('R0030_LFP'!S18/'R0030_LFP'!$S$24)*100</f>
        <v>0</v>
      </c>
      <c r="T18" s="16">
        <f>('R0030_LFP'!T18/'R0030_LFP'!$T$24)*100</f>
        <v>0</v>
      </c>
      <c r="U18" s="16">
        <f>('R0030_LFP'!U18/'R0030_LFP'!$U$24)*100</f>
        <v>0</v>
      </c>
      <c r="V18" s="16">
        <f>('R0030_LFP'!V18/'R0030_LFP'!$V$24)*100</f>
        <v>0</v>
      </c>
      <c r="W18" s="16">
        <f>('R0030_LFP'!W18/'R0030_LFP'!$W$24)*100</f>
        <v>0</v>
      </c>
      <c r="X18" s="16">
        <f>('R0030_LFP'!X18/'R0030_LFP'!$X$24)*100</f>
        <v>0.8245641589445577</v>
      </c>
      <c r="Y18" s="16">
        <f>('R0030_LFP'!Y18/'R0030_LFP'!$Y$24)*100</f>
        <v>0.77461662920061292</v>
      </c>
    </row>
    <row r="19" spans="1:25" x14ac:dyDescent="0.25">
      <c r="A19" s="2" t="s">
        <v>6</v>
      </c>
      <c r="B19" s="16">
        <f>('R0030_LFP'!B19/'R0030_LFP'!$B$24)*100</f>
        <v>31.391837566461028</v>
      </c>
      <c r="C19" s="16">
        <f>('R0030_LFP'!C19/'R0030_LFP'!$C$24)*100</f>
        <v>32.055136685323092</v>
      </c>
      <c r="D19" s="16">
        <f>('R0030_LFP'!D19/'R0030_LFP'!$D$24)*100</f>
        <v>32.702101714367693</v>
      </c>
      <c r="E19" s="16">
        <f>('R0030_LFP'!E19/'R0030_LFP'!$E$24)*100</f>
        <v>33.095507553018749</v>
      </c>
      <c r="F19" s="16">
        <f>('R0030_LFP'!F19/'R0030_LFP'!$F$24)*100</f>
        <v>31.310525891551421</v>
      </c>
      <c r="G19" s="16">
        <f>('R0030_LFP'!G19/'R0030_LFP'!$G$24)*100</f>
        <v>31.579685184443466</v>
      </c>
      <c r="H19" s="16">
        <f>('R0030_LFP'!H19/'R0030_LFP'!$H$24)*100</f>
        <v>33.339423393137722</v>
      </c>
      <c r="I19" s="16">
        <f>('R0030_LFP'!I19/'R0030_LFP'!$I$24)*100</f>
        <v>32.861241551240589</v>
      </c>
      <c r="J19" s="16">
        <f>('R0030_LFP'!J19/'R0030_LFP'!$J$24)*100</f>
        <v>31.773518041237114</v>
      </c>
      <c r="K19" s="16">
        <f>('R0030_LFP'!K19/'R0030_LFP'!$K$24)*100</f>
        <v>35.863130114024266</v>
      </c>
      <c r="L19" s="16">
        <f>('R0030_LFP'!L19/'R0030_LFP'!$L$24)*100</f>
        <v>37.498983751640516</v>
      </c>
      <c r="M19" s="16">
        <f>('R0030_LFP'!M19/'R0030_LFP'!$M$24)*100</f>
        <v>36.143719477052812</v>
      </c>
      <c r="N19" s="16">
        <f>('R0030_LFP'!N19/'R0030_LFP'!$N$24)*100</f>
        <v>36.119262075476513</v>
      </c>
      <c r="O19" s="16">
        <f>('R0030_LFP'!O19/'R0030_LFP'!$O$24)*100</f>
        <v>38.931593409919017</v>
      </c>
      <c r="P19" s="16">
        <f>('R0030_LFP'!P19/'R0030_LFP'!$P$24)*100</f>
        <v>35.332925607359883</v>
      </c>
      <c r="Q19" s="16">
        <f>('R0030_LFP'!Q19/'R0030_LFP'!$Q$24)*100</f>
        <v>38.513598854833283</v>
      </c>
      <c r="R19" s="16">
        <f>('R0030_LFP'!R19/'R0030_LFP'!$R$24)*100</f>
        <v>38.573136354915356</v>
      </c>
      <c r="S19" s="16">
        <f>('R0030_LFP'!S19/'R0030_LFP'!$S$24)*100</f>
        <v>33.982647158897592</v>
      </c>
      <c r="T19" s="16">
        <f>('R0030_LFP'!T19/'R0030_LFP'!$T$24)*100</f>
        <v>36.709087650116516</v>
      </c>
      <c r="U19" s="16">
        <f>('R0030_LFP'!U19/'R0030_LFP'!$U$24)*100</f>
        <v>35.967598199392178</v>
      </c>
      <c r="V19" s="16">
        <f>('R0030_LFP'!V19/'R0030_LFP'!$V$24)*100</f>
        <v>45.216169128735203</v>
      </c>
      <c r="W19" s="16">
        <f>('R0030_LFP'!W19/'R0030_LFP'!$W$24)*100</f>
        <v>28.753230996465685</v>
      </c>
      <c r="X19" s="16">
        <f>('R0030_LFP'!X19/'R0030_LFP'!$X$24)*100</f>
        <v>35.729542955866187</v>
      </c>
      <c r="Y19" s="16">
        <f>('R0030_LFP'!Y19/'R0030_LFP'!$Y$24)*100</f>
        <v>36.593118655231166</v>
      </c>
    </row>
    <row r="20" spans="1:25" x14ac:dyDescent="0.25">
      <c r="A20" s="2" t="s">
        <v>14</v>
      </c>
      <c r="B20" s="16">
        <f>('R0030_LFP'!B20/'R0030_LFP'!$B$24)*100</f>
        <v>1.2968006076437133E-2</v>
      </c>
      <c r="C20" s="16">
        <f>('R0030_LFP'!C20/'R0030_LFP'!$C$24)*100</f>
        <v>6.4757851889541598E-2</v>
      </c>
      <c r="D20" s="16">
        <f>('R0030_LFP'!D20/'R0030_LFP'!$D$24)*100</f>
        <v>0.14704827487267771</v>
      </c>
      <c r="E20" s="16">
        <f>('R0030_LFP'!E20/'R0030_LFP'!$E$24)*100</f>
        <v>4.5924978267644224E-2</v>
      </c>
      <c r="F20" s="16">
        <f>('R0030_LFP'!F20/'R0030_LFP'!$F$24)*100</f>
        <v>0.37193556187602916</v>
      </c>
      <c r="G20" s="16">
        <f>('R0030_LFP'!G20/'R0030_LFP'!$G$24)*100</f>
        <v>0.38350622822125208</v>
      </c>
      <c r="H20" s="16">
        <f>('R0030_LFP'!H20/'R0030_LFP'!$H$24)*100</f>
        <v>0.20828004531004493</v>
      </c>
      <c r="I20" s="16">
        <f>('R0030_LFP'!I20/'R0030_LFP'!$I$24)*100</f>
        <v>0.12572398749207511</v>
      </c>
      <c r="J20" s="16">
        <f>('R0030_LFP'!J20/'R0030_LFP'!$J$24)*100</f>
        <v>0.21645457474226801</v>
      </c>
      <c r="K20" s="16">
        <f>('R0030_LFP'!K20/'R0030_LFP'!$K$24)*100</f>
        <v>0.37294802164321306</v>
      </c>
      <c r="L20" s="16">
        <f>('R0030_LFP'!L20/'R0030_LFP'!$L$24)*100</f>
        <v>0.27990383386952533</v>
      </c>
      <c r="M20" s="16">
        <f>('R0030_LFP'!M20/'R0030_LFP'!$M$24)*100</f>
        <v>0.19868353201686534</v>
      </c>
      <c r="N20" s="16">
        <f>('R0030_LFP'!N20/'R0030_LFP'!$N$24)*100</f>
        <v>0.54476793141282442</v>
      </c>
      <c r="O20" s="16">
        <f>('R0030_LFP'!O20/'R0030_LFP'!$O$24)*100</f>
        <v>2.5287801571257371</v>
      </c>
      <c r="P20" s="16">
        <f>('R0030_LFP'!P20/'R0030_LFP'!$P$24)*100</f>
        <v>0.45413733425288549</v>
      </c>
      <c r="Q20" s="16">
        <f>('R0030_LFP'!Q20/'R0030_LFP'!$Q$24)*100</f>
        <v>0.28944930953182896</v>
      </c>
      <c r="R20" s="16">
        <f>('R0030_LFP'!R20/'R0030_LFP'!$R$24)*100</f>
        <v>1.6234484997859999</v>
      </c>
      <c r="S20" s="16">
        <f>('R0030_LFP'!S20/'R0030_LFP'!$S$24)*100</f>
        <v>3.6789724396053076</v>
      </c>
      <c r="T20" s="16">
        <f>('R0030_LFP'!T20/'R0030_LFP'!$T$24)*100</f>
        <v>0.82227997849076906</v>
      </c>
      <c r="U20" s="16">
        <f>('R0030_LFP'!U20/'R0030_LFP'!$U$24)*100</f>
        <v>0.97913762767634738</v>
      </c>
      <c r="V20" s="16">
        <f>('R0030_LFP'!V20/'R0030_LFP'!$V$24)*100</f>
        <v>5.5795499465616443</v>
      </c>
      <c r="W20" s="16">
        <f>('R0030_LFP'!W20/'R0030_LFP'!$W$24)*100</f>
        <v>6.1085614812470332</v>
      </c>
      <c r="X20" s="16">
        <f>('R0030_LFP'!X20/'R0030_LFP'!$X$24)*100</f>
        <v>6.8258206376629476</v>
      </c>
      <c r="Y20" s="16">
        <f>('R0030_LFP'!Y20/'R0030_LFP'!$Y$24)*100</f>
        <v>11.500408069758453</v>
      </c>
    </row>
    <row r="21" spans="1:25" x14ac:dyDescent="0.25">
      <c r="A21" s="2" t="s">
        <v>15</v>
      </c>
      <c r="B21" s="16">
        <f>('R0030_LFP'!B21/'R0030_LFP'!$B$24)*100</f>
        <v>1.0652290705644789</v>
      </c>
      <c r="C21" s="16">
        <f>('R0030_LFP'!C21/'R0030_LFP'!$C$24)*100</f>
        <v>0.53425227808871822</v>
      </c>
      <c r="D21" s="16">
        <f>('R0030_LFP'!D21/'R0030_LFP'!$D$24)*100</f>
        <v>0.99526576285775759</v>
      </c>
      <c r="E21" s="16">
        <f>('R0030_LFP'!E21/'R0030_LFP'!$E$24)*100</f>
        <v>0.94474241007725257</v>
      </c>
      <c r="F21" s="16">
        <f>('R0030_LFP'!F21/'R0030_LFP'!$F$24)*100</f>
        <v>1.8734958488306486</v>
      </c>
      <c r="G21" s="16">
        <f>('R0030_LFP'!G21/'R0030_LFP'!$G$24)*100</f>
        <v>2.1938959426442906</v>
      </c>
      <c r="H21" s="16">
        <f>('R0030_LFP'!H21/'R0030_LFP'!$H$24)*100</f>
        <v>2.721038720600236</v>
      </c>
      <c r="I21" s="16">
        <f>('R0030_LFP'!I21/'R0030_LFP'!$I$24)*100</f>
        <v>2.3382512545534651</v>
      </c>
      <c r="J21" s="16">
        <f>('R0030_LFP'!J21/'R0030_LFP'!$J$24)*100</f>
        <v>2.6034954896907214</v>
      </c>
      <c r="K21" s="16">
        <f>('R0030_LFP'!K21/'R0030_LFP'!$K$24)*100</f>
        <v>3.2057226122665248</v>
      </c>
      <c r="L21" s="16">
        <f>('R0030_LFP'!L21/'R0030_LFP'!$L$24)*100</f>
        <v>3.0731350390820085</v>
      </c>
      <c r="M21" s="16">
        <f>('R0030_LFP'!M21/'R0030_LFP'!$M$24)*100</f>
        <v>2.2507355840689169</v>
      </c>
      <c r="N21" s="16">
        <f>('R0030_LFP'!N21/'R0030_LFP'!$N$24)*100</f>
        <v>5.9031410272766704</v>
      </c>
      <c r="O21" s="16">
        <f>('R0030_LFP'!O21/'R0030_LFP'!$O$24)*100</f>
        <v>4.7379825442748373</v>
      </c>
      <c r="P21" s="16">
        <f>('R0030_LFP'!P21/'R0030_LFP'!$P$24)*100</f>
        <v>6.5335918489505387</v>
      </c>
      <c r="Q21" s="16">
        <f>('R0030_LFP'!Q21/'R0030_LFP'!$Q$24)*100</f>
        <v>3.5860138093634224</v>
      </c>
      <c r="R21" s="16">
        <f>('R0030_LFP'!R21/'R0030_LFP'!$R$24)*100</f>
        <v>4.8880558466283919</v>
      </c>
      <c r="S21" s="16">
        <f>('R0030_LFP'!S21/'R0030_LFP'!$S$24)*100</f>
        <v>3.9447941476692754</v>
      </c>
      <c r="T21" s="16">
        <f>('R0030_LFP'!T21/'R0030_LFP'!$T$24)*100</f>
        <v>6.5547141064706942</v>
      </c>
      <c r="U21" s="16">
        <f>('R0030_LFP'!U21/'R0030_LFP'!$U$24)*100</f>
        <v>4.1107785115280029</v>
      </c>
      <c r="V21" s="16">
        <f>('R0030_LFP'!V21/'R0030_LFP'!$V$24)*100</f>
        <v>3.1521309459320968</v>
      </c>
      <c r="W21" s="16">
        <f>('R0030_LFP'!W21/'R0030_LFP'!$W$24)*100</f>
        <v>8.4691670622988866</v>
      </c>
      <c r="X21" s="16">
        <f>('R0030_LFP'!X21/'R0030_LFP'!$X$24)*100</f>
        <v>8.966546254122818</v>
      </c>
      <c r="Y21" s="16">
        <f>('R0030_LFP'!Y21/'R0030_LFP'!$Y$24)*100</f>
        <v>6.3200698729972373</v>
      </c>
    </row>
    <row r="22" spans="1:25" x14ac:dyDescent="0.25">
      <c r="A22" s="2" t="s">
        <v>16</v>
      </c>
      <c r="B22" s="16">
        <f>('R0030_LFP'!B22/'R0030_LFP'!$B$24)*100</f>
        <v>0.20193038033309249</v>
      </c>
      <c r="C22" s="16">
        <f>('R0030_LFP'!C22/'R0030_LFP'!$C$24)*100</f>
        <v>9.7136777834312404E-2</v>
      </c>
      <c r="D22" s="16">
        <f>('R0030_LFP'!D22/'R0030_LFP'!$D$24)*100</f>
        <v>0.1255290151352127</v>
      </c>
      <c r="E22" s="16">
        <f>('R0030_LFP'!E22/'R0030_LFP'!$E$24)*100</f>
        <v>0.11973297905492958</v>
      </c>
      <c r="F22" s="16">
        <f>('R0030_LFP'!F22/'R0030_LFP'!$F$24)*100</f>
        <v>0.171573989843741</v>
      </c>
      <c r="G22" s="16">
        <f>('R0030_LFP'!G22/'R0030_LFP'!$G$24)*100</f>
        <v>6.3083269916289514E-2</v>
      </c>
      <c r="H22" s="16">
        <f>('R0030_LFP'!H22/'R0030_LFP'!$H$24)*100</f>
        <v>0.18757384197512819</v>
      </c>
      <c r="I22" s="16">
        <f>('R0030_LFP'!I22/'R0030_LFP'!$I$24)*100</f>
        <v>0.1536626513792029</v>
      </c>
      <c r="J22" s="16">
        <f>('R0030_LFP'!J22/'R0030_LFP'!$J$24)*100</f>
        <v>0.43995650773195877</v>
      </c>
      <c r="K22" s="16">
        <f>('R0030_LFP'!K22/'R0030_LFP'!$K$24)*100</f>
        <v>9.8841415572108376E-2</v>
      </c>
      <c r="L22" s="16">
        <f>('R0030_LFP'!L22/'R0030_LFP'!$L$24)*100</f>
        <v>0.55864624104249661</v>
      </c>
      <c r="M22" s="16">
        <f>('R0030_LFP'!M22/'R0030_LFP'!$M$24)*100</f>
        <v>0.14408347741681071</v>
      </c>
      <c r="N22" s="16">
        <f>('R0030_LFP'!N22/'R0030_LFP'!$N$24)*100</f>
        <v>8.0375596437957691E-2</v>
      </c>
      <c r="O22" s="16">
        <f>('R0030_LFP'!O22/'R0030_LFP'!$O$24)*100</f>
        <v>0.40673534360662883</v>
      </c>
      <c r="P22" s="16">
        <f>('R0030_LFP'!P22/'R0030_LFP'!$P$24)*100</f>
        <v>0.97463857694960221</v>
      </c>
      <c r="Q22" s="16">
        <f>('R0030_LFP'!Q22/'R0030_LFP'!$Q$24)*100</f>
        <v>0.48837992590097679</v>
      </c>
      <c r="R22" s="16">
        <f>('R0030_LFP'!R22/'R0030_LFP'!$R$24)*100</f>
        <v>0.36896556813318182</v>
      </c>
      <c r="S22" s="16">
        <f>('R0030_LFP'!S22/'R0030_LFP'!$S$24)*100</f>
        <v>0.21691051378019735</v>
      </c>
      <c r="T22" s="16">
        <f>('R0030_LFP'!T22/'R0030_LFP'!$T$24)*100</f>
        <v>0.19156658899444348</v>
      </c>
      <c r="U22" s="16">
        <f>('R0030_LFP'!U22/'R0030_LFP'!$U$24)*100</f>
        <v>0.33361515435413475</v>
      </c>
      <c r="V22" s="16">
        <f>('R0030_LFP'!V22/'R0030_LFP'!$V$24)*100</f>
        <v>0.45239594161310637</v>
      </c>
      <c r="W22" s="16">
        <f>('R0030_LFP'!W22/'R0030_LFP'!$W$24)*100</f>
        <v>3.3233106504193706</v>
      </c>
      <c r="X22" s="16">
        <f>('R0030_LFP'!X22/'R0030_LFP'!$X$24)*100</f>
        <v>0.45233233862101457</v>
      </c>
      <c r="Y22" s="16">
        <f>('R0030_LFP'!Y22/'R0030_LFP'!$Y$24)*100</f>
        <v>1.2199138042124253</v>
      </c>
    </row>
    <row r="24" spans="1:25" x14ac:dyDescent="0.25">
      <c r="B24" s="25"/>
      <c r="C24" t="s">
        <v>21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502B-826C-477A-8C0D-3DBFE6E0F73F}">
  <sheetPr codeName="Sheet4"/>
  <dimension ref="A1:M22"/>
  <sheetViews>
    <sheetView workbookViewId="0"/>
  </sheetViews>
  <sheetFormatPr defaultRowHeight="15" x14ac:dyDescent="0.25"/>
  <cols>
    <col min="1" max="1" width="14.140625" style="2" bestFit="1" customWidth="1"/>
    <col min="2" max="3" width="8.85546875" style="16"/>
  </cols>
  <sheetData>
    <row r="1" spans="1:13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</row>
    <row r="2" spans="1:13" x14ac:dyDescent="0.25">
      <c r="B2" s="16" t="s">
        <v>26</v>
      </c>
      <c r="C2" s="16" t="s">
        <v>27</v>
      </c>
      <c r="D2" t="s">
        <v>26</v>
      </c>
      <c r="E2" t="s">
        <v>27</v>
      </c>
      <c r="F2" t="s">
        <v>26</v>
      </c>
      <c r="G2" t="s">
        <v>27</v>
      </c>
      <c r="H2" t="s">
        <v>26</v>
      </c>
      <c r="I2" t="s">
        <v>27</v>
      </c>
      <c r="J2" t="s">
        <v>26</v>
      </c>
      <c r="K2" t="s">
        <v>27</v>
      </c>
      <c r="L2" t="s">
        <v>26</v>
      </c>
      <c r="M2" t="s">
        <v>27</v>
      </c>
    </row>
    <row r="3" spans="1:13" s="9" customFormat="1" x14ac:dyDescent="0.25">
      <c r="A3" s="13" t="s">
        <v>19</v>
      </c>
      <c r="B3" s="21">
        <f>AVERAGE('R0030_LFP_100%'!B3:E3)</f>
        <v>100</v>
      </c>
      <c r="C3" s="21">
        <f>_xlfn.STDEV.P('R0030_LFP_100%'!B3:E3)</f>
        <v>0</v>
      </c>
      <c r="D3" s="21">
        <f>AVERAGE('R0030_LFP_100%'!F3:I3)</f>
        <v>100</v>
      </c>
      <c r="E3" s="21">
        <f>_xlfn.STDEV.P('R0030_LFP_100%'!F3:I3)</f>
        <v>0</v>
      </c>
      <c r="F3" s="21">
        <f>AVERAGE('R0030_LFP_100%'!J3:M3)</f>
        <v>100</v>
      </c>
      <c r="G3" s="21">
        <f>_xlfn.STDEV.P('R0030_LFP_100%'!J3:M3)</f>
        <v>0</v>
      </c>
      <c r="H3" s="21">
        <f>AVERAGE('R0030_LFP_100%'!N3:Q3)</f>
        <v>100</v>
      </c>
      <c r="I3" s="21">
        <f>_xlfn.STDEV.P('R0030_LFP_100%'!N3:Q3)</f>
        <v>0</v>
      </c>
      <c r="J3" s="21">
        <f>AVERAGE('R0030_LFP_100%'!R3:U3)</f>
        <v>100</v>
      </c>
      <c r="K3" s="21">
        <f>_xlfn.STDEV.P('R0030_LFP_100%'!R3:U3)</f>
        <v>0</v>
      </c>
      <c r="L3" s="21">
        <f>AVERAGE('R0030_LFP_100%'!V3:Y3)</f>
        <v>100</v>
      </c>
      <c r="M3" s="21">
        <f>_xlfn.STDEV.P('R0030_LFP_100%'!V3:Y3)</f>
        <v>0</v>
      </c>
    </row>
    <row r="4" spans="1:13" s="24" customFormat="1" x14ac:dyDescent="0.25">
      <c r="A4" s="22" t="s">
        <v>12</v>
      </c>
      <c r="B4" s="23">
        <f>AVERAGE('R0030_LFP_100%'!B4:E4)</f>
        <v>2.9053486396209447</v>
      </c>
      <c r="C4" s="23">
        <f>_xlfn.STDEV.P('R0030_LFP_100%'!B4:E4)</f>
        <v>0.44189561083410345</v>
      </c>
      <c r="D4" s="23">
        <f>AVERAGE('R0030_LFP_100%'!F4:I4)</f>
        <v>2.6605078389566237</v>
      </c>
      <c r="E4" s="23">
        <f>_xlfn.STDEV.P('R0030_LFP_100%'!F4:I4)</f>
        <v>0.366833914698388</v>
      </c>
      <c r="F4" s="23">
        <f>AVERAGE('R0030_LFP_100%'!J4:M4)</f>
        <v>2.6837175209289748</v>
      </c>
      <c r="G4" s="23">
        <f>_xlfn.STDEV.P('R0030_LFP_100%'!J4:M4)</f>
        <v>0.48634744104140065</v>
      </c>
      <c r="H4" s="23">
        <f>AVERAGE('R0030_LFP_100%'!N4:Q4)</f>
        <v>3.9907710305653792</v>
      </c>
      <c r="I4" s="23">
        <f>_xlfn.STDEV.P('R0030_LFP_100%'!N4:Q4)</f>
        <v>0.50347204028588566</v>
      </c>
      <c r="J4" s="23">
        <f>AVERAGE('R0030_LFP_100%'!R4:U4)</f>
        <v>4.5528166973746522</v>
      </c>
      <c r="K4" s="23">
        <f>_xlfn.STDEV.P('R0030_LFP_100%'!R4:U4)</f>
        <v>1.6453176252786528</v>
      </c>
      <c r="L4" s="23">
        <f>AVERAGE('R0030_LFP_100%'!V4:Y4)</f>
        <v>4.0233407289615055</v>
      </c>
      <c r="M4" s="23">
        <f>_xlfn.STDEV.P('R0030_LFP_100%'!V4:Y4)</f>
        <v>0.49058400940695546</v>
      </c>
    </row>
    <row r="5" spans="1:13" x14ac:dyDescent="0.25">
      <c r="A5" s="2" t="s">
        <v>8</v>
      </c>
      <c r="B5" s="16">
        <f>AVERAGE('R0030_LFP_100%'!B5:E5)</f>
        <v>0.12891044491907278</v>
      </c>
      <c r="C5" s="16">
        <f>_xlfn.STDEV.P('R0030_LFP_100%'!B5:E5)</f>
        <v>0.13215656024943884</v>
      </c>
      <c r="D5" s="16">
        <f>AVERAGE('R0030_LFP_100%'!F5:I5)</f>
        <v>0.11861335089639294</v>
      </c>
      <c r="E5" s="16">
        <f>_xlfn.STDEV.P('R0030_LFP_100%'!F5:I5)</f>
        <v>3.7772588458771787E-2</v>
      </c>
      <c r="F5" s="16">
        <f>AVERAGE('R0030_LFP_100%'!J5:M5)</f>
        <v>2.9948337647986118E-2</v>
      </c>
      <c r="G5" s="16">
        <f>_xlfn.STDEV.P('R0030_LFP_100%'!J5:M5)</f>
        <v>2.9950403794155651E-2</v>
      </c>
      <c r="H5" s="16">
        <f>AVERAGE('R0030_LFP_100%'!N5:Q5)</f>
        <v>0.15717415159474216</v>
      </c>
      <c r="I5" s="16">
        <f>_xlfn.STDEV.P('R0030_LFP_100%'!N5:Q5)</f>
        <v>0.11629013822326888</v>
      </c>
      <c r="J5" s="16">
        <f>AVERAGE('R0030_LFP_100%'!R5:U5)</f>
        <v>0.27194613730059153</v>
      </c>
      <c r="K5" s="16">
        <f>_xlfn.STDEV.P('R0030_LFP_100%'!R5:U5)</f>
        <v>0.47102452672672634</v>
      </c>
      <c r="L5" s="16">
        <f>AVERAGE('R0030_LFP_100%'!V5:Y5)</f>
        <v>0</v>
      </c>
      <c r="M5" s="16">
        <f>_xlfn.STDEV.P('R0030_LFP_100%'!V5:Y5)</f>
        <v>0</v>
      </c>
    </row>
    <row r="6" spans="1:13" x14ac:dyDescent="0.25">
      <c r="A6" s="2" t="s">
        <v>6</v>
      </c>
      <c r="B6" s="16">
        <f>AVERAGE('R0030_LFP_100%'!B6:E6)</f>
        <v>0.23758140574993569</v>
      </c>
      <c r="C6" s="16">
        <f>_xlfn.STDEV.P('R0030_LFP_100%'!B6:E6)</f>
        <v>3.0729566516415435E-2</v>
      </c>
      <c r="D6" s="16">
        <f>AVERAGE('R0030_LFP_100%'!F6:I6)</f>
        <v>0.10919363685274355</v>
      </c>
      <c r="E6" s="16">
        <f>_xlfn.STDEV.P('R0030_LFP_100%'!F6:I6)</f>
        <v>8.8097835081621806E-2</v>
      </c>
      <c r="F6" s="16">
        <f>AVERAGE('R0030_LFP_100%'!J6:M6)</f>
        <v>7.2441003636875057E-2</v>
      </c>
      <c r="G6" s="16">
        <f>_xlfn.STDEV.P('R0030_LFP_100%'!J6:M6)</f>
        <v>4.6521833126323645E-2</v>
      </c>
      <c r="H6" s="16">
        <f>AVERAGE('R0030_LFP_100%'!N6:Q6)</f>
        <v>0.25387569376989033</v>
      </c>
      <c r="I6" s="16">
        <f>_xlfn.STDEV.P('R0030_LFP_100%'!N6:Q6)</f>
        <v>0.27135160690615817</v>
      </c>
      <c r="J6" s="16">
        <f>AVERAGE('R0030_LFP_100%'!R6:U6)</f>
        <v>0.10367932464542408</v>
      </c>
      <c r="K6" s="16">
        <f>_xlfn.STDEV.P('R0030_LFP_100%'!R6:U6)</f>
        <v>0.1795778579803026</v>
      </c>
      <c r="L6" s="16">
        <f>AVERAGE('R0030_LFP_100%'!V6:Y6)</f>
        <v>0.20106680674263694</v>
      </c>
      <c r="M6" s="16">
        <f>_xlfn.STDEV.P('R0030_LFP_100%'!V6:Y6)</f>
        <v>0.20127991389408817</v>
      </c>
    </row>
    <row r="7" spans="1:13" x14ac:dyDescent="0.25">
      <c r="A7" s="2" t="s">
        <v>14</v>
      </c>
      <c r="B7" s="16">
        <f>AVERAGE('R0030_LFP_100%'!B7:E7)</f>
        <v>5.8281328455634445E-3</v>
      </c>
      <c r="C7" s="16">
        <f>_xlfn.STDEV.P('R0030_LFP_100%'!B7:E7)</f>
        <v>1.0094622201776862E-2</v>
      </c>
      <c r="D7" s="16">
        <f>AVERAGE('R0030_LFP_100%'!F7:I7)</f>
        <v>5.7576000320422958E-3</v>
      </c>
      <c r="E7" s="16">
        <f>_xlfn.STDEV.P('R0030_LFP_100%'!F7:I7)</f>
        <v>9.9724557851574528E-3</v>
      </c>
      <c r="F7" s="16">
        <f>AVERAGE('R0030_LFP_100%'!J7:M7)</f>
        <v>0</v>
      </c>
      <c r="G7" s="16">
        <f>_xlfn.STDEV.P('R0030_LFP_100%'!J7:M7)</f>
        <v>0</v>
      </c>
      <c r="H7" s="16">
        <f>AVERAGE('R0030_LFP_100%'!N7:Q7)</f>
        <v>9.2495726059554483E-3</v>
      </c>
      <c r="I7" s="16">
        <f>_xlfn.STDEV.P('R0030_LFP_100%'!N7:Q7)</f>
        <v>1.6020729701812099E-2</v>
      </c>
      <c r="J7" s="16">
        <f>AVERAGE('R0030_LFP_100%'!R7:U7)</f>
        <v>0.27126483516694633</v>
      </c>
      <c r="K7" s="16">
        <f>_xlfn.STDEV.P('R0030_LFP_100%'!R7:U7)</f>
        <v>0.27621472815847248</v>
      </c>
      <c r="L7" s="16">
        <f>AVERAGE('R0030_LFP_100%'!V7:Y7)</f>
        <v>0</v>
      </c>
      <c r="M7" s="16">
        <f>_xlfn.STDEV.P('R0030_LFP_100%'!V7:Y7)</f>
        <v>0</v>
      </c>
    </row>
    <row r="8" spans="1:13" x14ac:dyDescent="0.25">
      <c r="A8" s="2" t="s">
        <v>15</v>
      </c>
      <c r="B8" s="16">
        <f>AVERAGE('R0030_LFP_100%'!B8:E8)</f>
        <v>0.49393542339003793</v>
      </c>
      <c r="C8" s="16">
        <f>_xlfn.STDEV.P('R0030_LFP_100%'!B8:E8)</f>
        <v>9.6039107982444527E-2</v>
      </c>
      <c r="D8" s="16">
        <f>AVERAGE('R0030_LFP_100%'!F8:I8)</f>
        <v>0.30052722705517582</v>
      </c>
      <c r="E8" s="16">
        <f>_xlfn.STDEV.P('R0030_LFP_100%'!F8:I8)</f>
        <v>0.10575571886208958</v>
      </c>
      <c r="F8" s="16">
        <f>AVERAGE('R0030_LFP_100%'!J8:M8)</f>
        <v>0.21920113073840447</v>
      </c>
      <c r="G8" s="16">
        <f>_xlfn.STDEV.P('R0030_LFP_100%'!J8:M8)</f>
        <v>0.15729440677483705</v>
      </c>
      <c r="H8" s="16">
        <f>AVERAGE('R0030_LFP_100%'!N8:Q8)</f>
        <v>0.16142855266714268</v>
      </c>
      <c r="I8" s="16">
        <f>_xlfn.STDEV.P('R0030_LFP_100%'!N8:Q8)</f>
        <v>0.14058861512737678</v>
      </c>
      <c r="J8" s="16">
        <f>AVERAGE('R0030_LFP_100%'!R8:U8)</f>
        <v>0.96836520154105554</v>
      </c>
      <c r="K8" s="16">
        <f>_xlfn.STDEV.P('R0030_LFP_100%'!R8:U8)</f>
        <v>1.2579486076393598</v>
      </c>
      <c r="L8" s="16">
        <f>AVERAGE('R0030_LFP_100%'!V8:Y8)</f>
        <v>0.22978818840055215</v>
      </c>
      <c r="M8" s="16">
        <f>_xlfn.STDEV.P('R0030_LFP_100%'!V8:Y8)</f>
        <v>0.23975956425615028</v>
      </c>
    </row>
    <row r="9" spans="1:13" x14ac:dyDescent="0.25">
      <c r="A9" s="2" t="s">
        <v>16</v>
      </c>
      <c r="B9" s="16">
        <f>AVERAGE('R0030_LFP_100%'!B9:E9)</f>
        <v>2.0390932327163345</v>
      </c>
      <c r="C9" s="16">
        <f>_xlfn.STDEV.P('R0030_LFP_100%'!B9:E9)</f>
        <v>0.22070851115866327</v>
      </c>
      <c r="D9" s="16">
        <f>AVERAGE('R0030_LFP_100%'!F9:I9)</f>
        <v>2.1264160241202692</v>
      </c>
      <c r="E9" s="16">
        <f>_xlfn.STDEV.P('R0030_LFP_100%'!F9:I9)</f>
        <v>0.2132080829051762</v>
      </c>
      <c r="F9" s="16">
        <f>AVERAGE('R0030_LFP_100%'!J9:M9)</f>
        <v>2.3621270489057089</v>
      </c>
      <c r="G9" s="16">
        <f>_xlfn.STDEV.P('R0030_LFP_100%'!J9:M9)</f>
        <v>0.33973190313466683</v>
      </c>
      <c r="H9" s="16">
        <f>AVERAGE('R0030_LFP_100%'!N9:Q9)</f>
        <v>3.4090430599276487</v>
      </c>
      <c r="I9" s="16">
        <f>_xlfn.STDEV.P('R0030_LFP_100%'!N9:Q9)</f>
        <v>0.17435042577818094</v>
      </c>
      <c r="J9" s="16">
        <f>AVERAGE('R0030_LFP_100%'!R9:U9)</f>
        <v>2.9375611987206343</v>
      </c>
      <c r="K9" s="16">
        <f>_xlfn.STDEV.P('R0030_LFP_100%'!R9:U9)</f>
        <v>0.46053877697645734</v>
      </c>
      <c r="L9" s="16">
        <f>AVERAGE('R0030_LFP_100%'!V9:Y9)</f>
        <v>3.5924857338183158</v>
      </c>
      <c r="M9" s="16">
        <f>_xlfn.STDEV.P('R0030_LFP_100%'!V9:Y9)</f>
        <v>0.51006689949538708</v>
      </c>
    </row>
    <row r="10" spans="1:13" s="10" customFormat="1" x14ac:dyDescent="0.25">
      <c r="A10" s="14" t="s">
        <v>20</v>
      </c>
      <c r="B10" s="18">
        <f>AVERAGE('R0030_LFP_100%'!B10:E10)</f>
        <v>97.094651360379061</v>
      </c>
      <c r="C10" s="18">
        <f>_xlfn.STDEV.P('R0030_LFP_100%'!B10:E10)</f>
        <v>0.44189561083409779</v>
      </c>
      <c r="D10" s="18">
        <f>AVERAGE('R0030_LFP_100%'!F10:I10)</f>
        <v>97.339492161043381</v>
      </c>
      <c r="E10" s="18">
        <f>_xlfn.STDEV.P('R0030_LFP_100%'!F10:I10)</f>
        <v>0.36683391469837856</v>
      </c>
      <c r="F10" s="18">
        <f>AVERAGE('R0030_LFP_100%'!J10:M10)</f>
        <v>97.31628247907102</v>
      </c>
      <c r="G10" s="18">
        <f>_xlfn.STDEV.P('R0030_LFP_100%'!J10:M10)</f>
        <v>0.48634744104140293</v>
      </c>
      <c r="H10" s="18">
        <f>AVERAGE('R0030_LFP_100%'!N10:Q10)</f>
        <v>96.009228969434631</v>
      </c>
      <c r="I10" s="18">
        <f>_xlfn.STDEV.P('R0030_LFP_100%'!N10:Q10)</f>
        <v>0.50347204028588888</v>
      </c>
      <c r="J10" s="18">
        <f>AVERAGE('R0030_LFP_100%'!R10:U10)</f>
        <v>95.447183302625348</v>
      </c>
      <c r="K10" s="18">
        <f>_xlfn.STDEV.P('R0030_LFP_100%'!R10:U10)</f>
        <v>1.6453176252786474</v>
      </c>
      <c r="L10" s="18">
        <f>AVERAGE('R0030_LFP_100%'!V10:Y10)</f>
        <v>95.976659271038486</v>
      </c>
      <c r="M10" s="18">
        <f>_xlfn.STDEV.P('R0030_LFP_100%'!V10:Y10)</f>
        <v>0.49058400940696412</v>
      </c>
    </row>
    <row r="11" spans="1:13" s="11" customFormat="1" x14ac:dyDescent="0.25">
      <c r="A11" s="15" t="s">
        <v>17</v>
      </c>
      <c r="B11" s="17">
        <f>AVERAGE('R0030_LFP_100%'!B11:E11)</f>
        <v>63.663710718757613</v>
      </c>
      <c r="C11" s="17">
        <f>_xlfn.STDEV.P('R0030_LFP_100%'!B11:E11)</f>
        <v>0.85478969625502876</v>
      </c>
      <c r="D11" s="17">
        <f>AVERAGE('R0030_LFP_100%'!F11:I11)</f>
        <v>62.334150502173294</v>
      </c>
      <c r="E11" s="17">
        <f>_xlfn.STDEV.P('R0030_LFP_100%'!F11:I11)</f>
        <v>1.1287409364852532</v>
      </c>
      <c r="F11" s="17">
        <f>AVERAGE('R0030_LFP_100%'!J11:M11)</f>
        <v>58.433328084867753</v>
      </c>
      <c r="G11" s="17">
        <f>_xlfn.STDEV.P('R0030_LFP_100%'!J11:M11)</f>
        <v>2.6259411245695428</v>
      </c>
      <c r="H11" s="17">
        <f>AVERAGE('R0030_LFP_100%'!N11:Q11)</f>
        <v>52.152885631266471</v>
      </c>
      <c r="I11" s="17">
        <f>_xlfn.STDEV.P('R0030_LFP_100%'!N11:Q11)</f>
        <v>1.4635187157557579</v>
      </c>
      <c r="J11" s="17">
        <f>AVERAGE('R0030_LFP_100%'!R11:U11)</f>
        <v>51.965763078775325</v>
      </c>
      <c r="K11" s="17">
        <f>_xlfn.STDEV.P('R0030_LFP_100%'!R11:U11)</f>
        <v>3.6563083954536197</v>
      </c>
      <c r="L11" s="17">
        <f>AVERAGE('R0030_LFP_100%'!V11:Y11)</f>
        <v>43.411296888565886</v>
      </c>
      <c r="M11" s="17">
        <f>_xlfn.STDEV.P('R0030_LFP_100%'!V11:Y11)</f>
        <v>3.2579301633251903</v>
      </c>
    </row>
    <row r="12" spans="1:13" x14ac:dyDescent="0.25">
      <c r="A12" s="2" t="s">
        <v>8</v>
      </c>
      <c r="B12" s="16">
        <f>AVERAGE('R0030_LFP_100%'!B12:E12)</f>
        <v>61.407513652140587</v>
      </c>
      <c r="C12" s="16">
        <f>_xlfn.STDEV.P('R0030_LFP_100%'!B12:E12)</f>
        <v>0.90967476469217667</v>
      </c>
      <c r="D12" s="16">
        <f>AVERAGE('R0030_LFP_100%'!F12:I12)</f>
        <v>59.343136194460861</v>
      </c>
      <c r="E12" s="16">
        <f>_xlfn.STDEV.P('R0030_LFP_100%'!F12:I12)</f>
        <v>1.589322426192922</v>
      </c>
      <c r="F12" s="16">
        <f>AVERAGE('R0030_LFP_100%'!J12:M12)</f>
        <v>52.033766247920134</v>
      </c>
      <c r="G12" s="16">
        <f>_xlfn.STDEV.P('R0030_LFP_100%'!J12:M12)</f>
        <v>0.8181110321147177</v>
      </c>
      <c r="H12" s="16">
        <f>AVERAGE('R0030_LFP_100%'!N12:Q12)</f>
        <v>47.518927329643475</v>
      </c>
      <c r="I12" s="16">
        <f>_xlfn.STDEV.P('R0030_LFP_100%'!N12:Q12)</f>
        <v>1.9599467312365886</v>
      </c>
      <c r="J12" s="16">
        <f>AVERAGE('R0030_LFP_100%'!R12:U12)</f>
        <v>46.051566870596929</v>
      </c>
      <c r="K12" s="16">
        <f>_xlfn.STDEV.P('R0030_LFP_100%'!R12:U12)</f>
        <v>3.225264249061945</v>
      </c>
      <c r="L12" s="16">
        <f>AVERAGE('R0030_LFP_100%'!V12:Y12)</f>
        <v>37.390220023330833</v>
      </c>
      <c r="M12" s="16">
        <f>_xlfn.STDEV.P('R0030_LFP_100%'!V12:Y12)</f>
        <v>1.4599622927596931</v>
      </c>
    </row>
    <row r="13" spans="1:13" x14ac:dyDescent="0.25">
      <c r="A13" s="2" t="s">
        <v>6</v>
      </c>
      <c r="B13" s="16">
        <f>AVERAGE('R0030_LFP_100%'!B13:E13)</f>
        <v>1.6374235275408449</v>
      </c>
      <c r="C13" s="16">
        <f>_xlfn.STDEV.P('R0030_LFP_100%'!B13:E13)</f>
        <v>0.29750143332787871</v>
      </c>
      <c r="D13" s="16">
        <f>AVERAGE('R0030_LFP_100%'!F13:I13)</f>
        <v>1.5452221300444622</v>
      </c>
      <c r="E13" s="16">
        <f>_xlfn.STDEV.P('R0030_LFP_100%'!F13:I13)</f>
        <v>0.73801411164525121</v>
      </c>
      <c r="F13" s="16">
        <f>AVERAGE('R0030_LFP_100%'!J13:M13)</f>
        <v>3.1236896796115716</v>
      </c>
      <c r="G13" s="16">
        <f>_xlfn.STDEV.P('R0030_LFP_100%'!J13:M13)</f>
        <v>1.5475841457078654</v>
      </c>
      <c r="H13" s="16">
        <f>AVERAGE('R0030_LFP_100%'!N13:Q13)</f>
        <v>3.0053018735744295</v>
      </c>
      <c r="I13" s="16">
        <f>_xlfn.STDEV.P('R0030_LFP_100%'!N13:Q13)</f>
        <v>0.54945289999790126</v>
      </c>
      <c r="J13" s="16">
        <f>AVERAGE('R0030_LFP_100%'!R13:U13)</f>
        <v>1.9986881574989099</v>
      </c>
      <c r="K13" s="16">
        <f>_xlfn.STDEV.P('R0030_LFP_100%'!R13:U13)</f>
        <v>0.49883961706267843</v>
      </c>
      <c r="L13" s="16">
        <f>AVERAGE('R0030_LFP_100%'!V13:Y13)</f>
        <v>1.0706774232715306</v>
      </c>
      <c r="M13" s="16">
        <f>_xlfn.STDEV.P('R0030_LFP_100%'!V13:Y13)</f>
        <v>0.68602093008875031</v>
      </c>
    </row>
    <row r="14" spans="1:13" x14ac:dyDescent="0.25">
      <c r="A14" s="2" t="s">
        <v>14</v>
      </c>
      <c r="B14" s="16">
        <f>AVERAGE('R0030_LFP_100%'!B14:E14)</f>
        <v>0.24094918690298364</v>
      </c>
      <c r="C14" s="16">
        <f>_xlfn.STDEV.P('R0030_LFP_100%'!B14:E14)</f>
        <v>0.1330430559376409</v>
      </c>
      <c r="D14" s="16">
        <f>AVERAGE('R0030_LFP_100%'!F14:I14)</f>
        <v>0.71702908471910831</v>
      </c>
      <c r="E14" s="16">
        <f>_xlfn.STDEV.P('R0030_LFP_100%'!F14:I14)</f>
        <v>0.35724813797833549</v>
      </c>
      <c r="F14" s="16">
        <f>AVERAGE('R0030_LFP_100%'!J14:M14)</f>
        <v>0.68442521280879753</v>
      </c>
      <c r="G14" s="16">
        <f>_xlfn.STDEV.P('R0030_LFP_100%'!J14:M14)</f>
        <v>0.42133467864455965</v>
      </c>
      <c r="H14" s="16">
        <f>AVERAGE('R0030_LFP_100%'!N14:Q14)</f>
        <v>0.64394439690531069</v>
      </c>
      <c r="I14" s="16">
        <f>_xlfn.STDEV.P('R0030_LFP_100%'!N14:Q14)</f>
        <v>0.31363343511476033</v>
      </c>
      <c r="J14" s="16">
        <f>AVERAGE('R0030_LFP_100%'!R14:U14)</f>
        <v>3.2210661293867311</v>
      </c>
      <c r="K14" s="16">
        <f>_xlfn.STDEV.P('R0030_LFP_100%'!R14:U14)</f>
        <v>0.63214355029238678</v>
      </c>
      <c r="L14" s="16">
        <f>AVERAGE('R0030_LFP_100%'!V14:Y14)</f>
        <v>2.5339601967845331</v>
      </c>
      <c r="M14" s="16">
        <f>_xlfn.STDEV.P('R0030_LFP_100%'!V14:Y14)</f>
        <v>0.60208186704762323</v>
      </c>
    </row>
    <row r="15" spans="1:13" x14ac:dyDescent="0.25">
      <c r="A15" s="2" t="s">
        <v>15</v>
      </c>
      <c r="B15" s="16">
        <f>AVERAGE('R0030_LFP_100%'!B15:E15)</f>
        <v>0.34919577021968673</v>
      </c>
      <c r="C15" s="16">
        <f>_xlfn.STDEV.P('R0030_LFP_100%'!B15:E15)</f>
        <v>0.12137103524692563</v>
      </c>
      <c r="D15" s="16">
        <f>AVERAGE('R0030_LFP_100%'!F15:I15)</f>
        <v>0.6939092295898972</v>
      </c>
      <c r="E15" s="16">
        <f>_xlfn.STDEV.P('R0030_LFP_100%'!F15:I15)</f>
        <v>0.40905145687438033</v>
      </c>
      <c r="F15" s="16">
        <f>AVERAGE('R0030_LFP_100%'!J15:M15)</f>
        <v>2.5210949127226745</v>
      </c>
      <c r="G15" s="16">
        <f>_xlfn.STDEV.P('R0030_LFP_100%'!J15:M15)</f>
        <v>0.8638519773529838</v>
      </c>
      <c r="H15" s="16">
        <f>AVERAGE('R0030_LFP_100%'!N15:Q15)</f>
        <v>0.94106516391525052</v>
      </c>
      <c r="I15" s="16">
        <f>_xlfn.STDEV.P('R0030_LFP_100%'!N15:Q15)</f>
        <v>0.46746556848952869</v>
      </c>
      <c r="J15" s="16">
        <f>AVERAGE('R0030_LFP_100%'!R15:U15)</f>
        <v>0.62497145002787124</v>
      </c>
      <c r="K15" s="16">
        <f>_xlfn.STDEV.P('R0030_LFP_100%'!R15:U15)</f>
        <v>0.49918869775594454</v>
      </c>
      <c r="L15" s="16">
        <f>AVERAGE('R0030_LFP_100%'!V15:Y15)</f>
        <v>2.4164392451789896</v>
      </c>
      <c r="M15" s="16">
        <f>_xlfn.STDEV.P('R0030_LFP_100%'!V15:Y15)</f>
        <v>2.1457775606478826</v>
      </c>
    </row>
    <row r="16" spans="1:13" x14ac:dyDescent="0.25">
      <c r="A16" s="2" t="s">
        <v>16</v>
      </c>
      <c r="B16" s="16">
        <f>AVERAGE('R0030_LFP_100%'!B16:E16)</f>
        <v>2.8628581953510687E-2</v>
      </c>
      <c r="C16" s="16">
        <f>_xlfn.STDEV.P('R0030_LFP_100%'!B16:E16)</f>
        <v>2.016785797664607E-2</v>
      </c>
      <c r="D16" s="16">
        <f>AVERAGE('R0030_LFP_100%'!F16:I16)</f>
        <v>3.4853863358969596E-2</v>
      </c>
      <c r="E16" s="16">
        <f>_xlfn.STDEV.P('R0030_LFP_100%'!F16:I16)</f>
        <v>2.0608226042611949E-2</v>
      </c>
      <c r="F16" s="16">
        <f>AVERAGE('R0030_LFP_100%'!J16:M16)</f>
        <v>7.0352031804572182E-2</v>
      </c>
      <c r="G16" s="16">
        <f>_xlfn.STDEV.P('R0030_LFP_100%'!J16:M16)</f>
        <v>4.7678460967425465E-2</v>
      </c>
      <c r="H16" s="16">
        <f>AVERAGE('R0030_LFP_100%'!N16:Q16)</f>
        <v>4.364686722800637E-2</v>
      </c>
      <c r="I16" s="16">
        <f>_xlfn.STDEV.P('R0030_LFP_100%'!N16:Q16)</f>
        <v>3.0732380375029983E-2</v>
      </c>
      <c r="J16" s="16">
        <f>AVERAGE('R0030_LFP_100%'!R16:U16)</f>
        <v>6.9470471264885869E-2</v>
      </c>
      <c r="K16" s="16">
        <f>_xlfn.STDEV.P('R0030_LFP_100%'!R16:U16)</f>
        <v>7.0226772639727333E-2</v>
      </c>
      <c r="L16" s="16">
        <f>AVERAGE('R0030_LFP_100%'!V16:Y16)</f>
        <v>0</v>
      </c>
      <c r="M16" s="16">
        <f>_xlfn.STDEV.P('R0030_LFP_100%'!V16:Y16)</f>
        <v>0</v>
      </c>
    </row>
    <row r="17" spans="1:13" s="20" customFormat="1" x14ac:dyDescent="0.25">
      <c r="A17" s="12" t="s">
        <v>18</v>
      </c>
      <c r="B17" s="19">
        <f>AVERAGE('R0030_LFP_100%'!B17:E17)</f>
        <v>33.43094064162144</v>
      </c>
      <c r="C17" s="19">
        <f>_xlfn.STDEV.P('R0030_LFP_100%'!B17:E17)</f>
        <v>0.69052908059654883</v>
      </c>
      <c r="D17" s="19">
        <f>AVERAGE('R0030_LFP_100%'!F17:I17)</f>
        <v>35.00534165887008</v>
      </c>
      <c r="E17" s="19">
        <f>_xlfn.STDEV.P('R0030_LFP_100%'!F17:I17)</f>
        <v>1.0709591297753189</v>
      </c>
      <c r="F17" s="19">
        <f>AVERAGE('R0030_LFP_100%'!J17:M17)</f>
        <v>38.882954394203267</v>
      </c>
      <c r="G17" s="19">
        <f>_xlfn.STDEV.P('R0030_LFP_100%'!J17:M17)</f>
        <v>2.5243141830956621</v>
      </c>
      <c r="H17" s="19">
        <f>AVERAGE('R0030_LFP_100%'!N17:Q17)</f>
        <v>43.856343338168145</v>
      </c>
      <c r="I17" s="19">
        <f>_xlfn.STDEV.P('R0030_LFP_100%'!N17:Q17)</f>
        <v>1.603888305458355</v>
      </c>
      <c r="J17" s="19">
        <f>AVERAGE('R0030_LFP_100%'!R17:U17)</f>
        <v>43.481420223850023</v>
      </c>
      <c r="K17" s="19">
        <f>_xlfn.STDEV.P('R0030_LFP_100%'!R17:U17)</f>
        <v>2.0290279150545318</v>
      </c>
      <c r="L17" s="19">
        <f>AVERAGE('R0030_LFP_100%'!V17:Y17)</f>
        <v>52.565362382472614</v>
      </c>
      <c r="M17" s="19">
        <f>_xlfn.STDEV.P('R0030_LFP_100%'!V17:Y17)</f>
        <v>3.644487099960438</v>
      </c>
    </row>
    <row r="18" spans="1:13" x14ac:dyDescent="0.25">
      <c r="A18" s="2" t="s">
        <v>8</v>
      </c>
      <c r="B18" s="16">
        <f>AVERAGE('R0030_LFP_100%'!B18:E18)</f>
        <v>3.1165315565791836E-2</v>
      </c>
      <c r="C18" s="16">
        <f>_xlfn.STDEV.P('R0030_LFP_100%'!B18:E18)</f>
        <v>2.4662120927878416E-2</v>
      </c>
      <c r="D18" s="16">
        <f>AVERAGE('R0030_LFP_100%'!F18:I18)</f>
        <v>3.4617318116183259E-2</v>
      </c>
      <c r="E18" s="16">
        <f>_xlfn.STDEV.P('R0030_LFP_100%'!F18:I18)</f>
        <v>3.57505912885017E-2</v>
      </c>
      <c r="F18" s="16">
        <f>AVERAGE('R0030_LFP_100%'!J18:M18)</f>
        <v>0.2024649659287393</v>
      </c>
      <c r="G18" s="16">
        <f>_xlfn.STDEV.P('R0030_LFP_100%'!J18:M18)</f>
        <v>0.26081712127332612</v>
      </c>
      <c r="H18" s="16">
        <f>AVERAGE('R0030_LFP_100%'!N18:Q18)</f>
        <v>0</v>
      </c>
      <c r="I18" s="16">
        <f>_xlfn.STDEV.P('R0030_LFP_100%'!N18:Q18)</f>
        <v>0</v>
      </c>
      <c r="J18" s="16">
        <f>AVERAGE('R0030_LFP_100%'!R18:U18)</f>
        <v>0.24499313724043273</v>
      </c>
      <c r="K18" s="16">
        <f>_xlfn.STDEV.P('R0030_LFP_100%'!R18:U18)</f>
        <v>0.42434056120612429</v>
      </c>
      <c r="L18" s="16">
        <f>AVERAGE('R0030_LFP_100%'!V18:Y18)</f>
        <v>0.39979519703629263</v>
      </c>
      <c r="M18" s="16">
        <f>_xlfn.STDEV.P('R0030_LFP_100%'!V18:Y18)</f>
        <v>0.40018501226211406</v>
      </c>
    </row>
    <row r="19" spans="1:13" x14ac:dyDescent="0.25">
      <c r="A19" s="2" t="s">
        <v>6</v>
      </c>
      <c r="B19" s="16">
        <f>AVERAGE('R0030_LFP_100%'!B19:E19)</f>
        <v>32.31114587979264</v>
      </c>
      <c r="C19" s="16">
        <f>_xlfn.STDEV.P('R0030_LFP_100%'!B19:E19)</f>
        <v>0.64783064562196679</v>
      </c>
      <c r="D19" s="16">
        <f>AVERAGE('R0030_LFP_100%'!F19:I19)</f>
        <v>32.2727190050933</v>
      </c>
      <c r="E19" s="16">
        <f>_xlfn.STDEV.P('R0030_LFP_100%'!F19:I19)</f>
        <v>0.85004830790797303</v>
      </c>
      <c r="F19" s="16">
        <f>AVERAGE('R0030_LFP_100%'!J19:M19)</f>
        <v>35.319837845988673</v>
      </c>
      <c r="G19" s="16">
        <f>_xlfn.STDEV.P('R0030_LFP_100%'!J19:M19)</f>
        <v>2.1388670170328781</v>
      </c>
      <c r="H19" s="16">
        <f>AVERAGE('R0030_LFP_100%'!N19:Q19)</f>
        <v>37.224344986897172</v>
      </c>
      <c r="I19" s="16">
        <f>_xlfn.STDEV.P('R0030_LFP_100%'!N19:Q19)</f>
        <v>1.5309758509119262</v>
      </c>
      <c r="J19" s="16">
        <f>AVERAGE('R0030_LFP_100%'!R19:U19)</f>
        <v>36.308117340830407</v>
      </c>
      <c r="K19" s="16">
        <f>_xlfn.STDEV.P('R0030_LFP_100%'!R19:U19)</f>
        <v>1.6442972036587409</v>
      </c>
      <c r="L19" s="16">
        <f>AVERAGE('R0030_LFP_100%'!V19:Y19)</f>
        <v>36.573015434074563</v>
      </c>
      <c r="M19" s="16">
        <f>_xlfn.STDEV.P('R0030_LFP_100%'!V19:Y19)</f>
        <v>5.8430510951298249</v>
      </c>
    </row>
    <row r="20" spans="1:13" x14ac:dyDescent="0.25">
      <c r="A20" s="2" t="s">
        <v>14</v>
      </c>
      <c r="B20" s="16">
        <f>AVERAGE('R0030_LFP_100%'!B20:E20)</f>
        <v>6.7674777776575171E-2</v>
      </c>
      <c r="C20" s="16">
        <f>_xlfn.STDEV.P('R0030_LFP_100%'!B20:E20)</f>
        <v>4.9433149673132205E-2</v>
      </c>
      <c r="D20" s="16">
        <f>AVERAGE('R0030_LFP_100%'!F20:I20)</f>
        <v>0.27236145572485032</v>
      </c>
      <c r="E20" s="16">
        <f>_xlfn.STDEV.P('R0030_LFP_100%'!F20:I20)</f>
        <v>0.10940422446088635</v>
      </c>
      <c r="F20" s="16">
        <f>AVERAGE('R0030_LFP_100%'!J20:M20)</f>
        <v>0.26699749056796795</v>
      </c>
      <c r="G20" s="16">
        <f>_xlfn.STDEV.P('R0030_LFP_100%'!J20:M20)</f>
        <v>6.8215599399312044E-2</v>
      </c>
      <c r="H20" s="16">
        <f>AVERAGE('R0030_LFP_100%'!N20:Q20)</f>
        <v>0.95428368308081901</v>
      </c>
      <c r="I20" s="16">
        <f>_xlfn.STDEV.P('R0030_LFP_100%'!N20:Q20)</f>
        <v>0.91363195710065248</v>
      </c>
      <c r="J20" s="16">
        <f>AVERAGE('R0030_LFP_100%'!R20:U20)</f>
        <v>1.775959636389606</v>
      </c>
      <c r="K20" s="16">
        <f>_xlfn.STDEV.P('R0030_LFP_100%'!R20:U20)</f>
        <v>1.1389850283751408</v>
      </c>
      <c r="L20" s="16">
        <f>AVERAGE('R0030_LFP_100%'!V20:Y20)</f>
        <v>7.5035850338075196</v>
      </c>
      <c r="M20" s="16">
        <f>_xlfn.STDEV.P('R0030_LFP_100%'!V20:Y20)</f>
        <v>2.3495723380298905</v>
      </c>
    </row>
    <row r="21" spans="1:13" x14ac:dyDescent="0.25">
      <c r="A21" s="2" t="s">
        <v>15</v>
      </c>
      <c r="B21" s="16">
        <f>AVERAGE('R0030_LFP_100%'!B21:E21)</f>
        <v>0.88487238039705174</v>
      </c>
      <c r="C21" s="16">
        <f>_xlfn.STDEV.P('R0030_LFP_100%'!B21:E21)</f>
        <v>0.20690221795323976</v>
      </c>
      <c r="D21" s="16">
        <f>AVERAGE('R0030_LFP_100%'!F21:I21)</f>
        <v>2.2816704416571598</v>
      </c>
      <c r="E21" s="16">
        <f>_xlfn.STDEV.P('R0030_LFP_100%'!F21:I21)</f>
        <v>0.30436685670234387</v>
      </c>
      <c r="F21" s="16">
        <f>AVERAGE('R0030_LFP_100%'!J21:M21)</f>
        <v>2.7832721812770425</v>
      </c>
      <c r="G21" s="16">
        <f>_xlfn.STDEV.P('R0030_LFP_100%'!J21:M21)</f>
        <v>0.38026297781331669</v>
      </c>
      <c r="H21" s="16">
        <f>AVERAGE('R0030_LFP_100%'!N21:Q21)</f>
        <v>5.1901823074663671</v>
      </c>
      <c r="I21" s="16">
        <f>_xlfn.STDEV.P('R0030_LFP_100%'!N21:Q21)</f>
        <v>1.1281512009079944</v>
      </c>
      <c r="J21" s="16">
        <f>AVERAGE('R0030_LFP_100%'!R21:U21)</f>
        <v>4.8745856530740914</v>
      </c>
      <c r="K21" s="16">
        <f>_xlfn.STDEV.P('R0030_LFP_100%'!R21:U21)</f>
        <v>1.0333110203403182</v>
      </c>
      <c r="L21" s="16">
        <f>AVERAGE('R0030_LFP_100%'!V21:Y21)</f>
        <v>6.7269785338377597</v>
      </c>
      <c r="M21" s="16">
        <f>_xlfn.STDEV.P('R0030_LFP_100%'!V21:Y21)</f>
        <v>2.2910693124317683</v>
      </c>
    </row>
    <row r="22" spans="1:13" x14ac:dyDescent="0.25">
      <c r="A22" s="2" t="s">
        <v>16</v>
      </c>
      <c r="B22" s="16">
        <f>AVERAGE('R0030_LFP_100%'!B22:E22)</f>
        <v>0.1360822880893868</v>
      </c>
      <c r="C22" s="16">
        <f>_xlfn.STDEV.P('R0030_LFP_100%'!B22:E22)</f>
        <v>3.9469594300908295E-2</v>
      </c>
      <c r="D22" s="16">
        <f>AVERAGE('R0030_LFP_100%'!F22:I22)</f>
        <v>0.14397343827859041</v>
      </c>
      <c r="E22" s="16">
        <f>_xlfn.STDEV.P('R0030_LFP_100%'!F22:I22)</f>
        <v>4.8217957851282058E-2</v>
      </c>
      <c r="F22" s="16">
        <f>AVERAGE('R0030_LFP_100%'!J22:M22)</f>
        <v>0.31038191044084362</v>
      </c>
      <c r="G22" s="16">
        <f>_xlfn.STDEV.P('R0030_LFP_100%'!J22:M22)</f>
        <v>0.1941837428235173</v>
      </c>
      <c r="H22" s="16">
        <f>AVERAGE('R0030_LFP_100%'!N22:Q22)</f>
        <v>0.48753236072379136</v>
      </c>
      <c r="I22" s="16">
        <f>_xlfn.STDEV.P('R0030_LFP_100%'!N22:Q22)</f>
        <v>0.31999139556060613</v>
      </c>
      <c r="J22" s="16">
        <f>AVERAGE('R0030_LFP_100%'!R22:U22)</f>
        <v>0.27776445631548935</v>
      </c>
      <c r="K22" s="16">
        <f>_xlfn.STDEV.P('R0030_LFP_100%'!R22:U22)</f>
        <v>7.5116938703884251E-2</v>
      </c>
      <c r="L22" s="16">
        <f>AVERAGE('R0030_LFP_100%'!V22:Y22)</f>
        <v>1.3619881837164793</v>
      </c>
      <c r="M22" s="16">
        <f>_xlfn.STDEV.P('R0030_LFP_100%'!V22:Y22)</f>
        <v>1.1749258222453831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CC00-5EE1-4C58-BE2B-A0A235CF291B}">
  <sheetPr codeName="Sheet5"/>
  <dimension ref="A1:P23"/>
  <sheetViews>
    <sheetView workbookViewId="0"/>
  </sheetViews>
  <sheetFormatPr defaultRowHeight="15" x14ac:dyDescent="0.25"/>
  <cols>
    <col min="1" max="1" width="17.7109375" bestFit="1" customWidth="1"/>
    <col min="2" max="2" width="11" bestFit="1" customWidth="1"/>
    <col min="3" max="3" width="14.85546875" customWidth="1"/>
    <col min="5" max="5" width="19.7109375" bestFit="1" customWidth="1"/>
    <col min="6" max="6" width="16.5703125" customWidth="1"/>
    <col min="7" max="8" width="8.85546875" customWidth="1"/>
  </cols>
  <sheetData>
    <row r="1" spans="1:8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27</v>
      </c>
      <c r="H1" t="s">
        <v>34</v>
      </c>
    </row>
    <row r="2" spans="1:8" x14ac:dyDescent="0.25">
      <c r="A2">
        <v>11.2</v>
      </c>
      <c r="B2">
        <v>52.081000000000003</v>
      </c>
      <c r="C2">
        <f t="shared" ref="C2:C11" si="0">B2/$B$13*100</f>
        <v>4.2196680721153994</v>
      </c>
      <c r="D2" s="16">
        <f t="shared" ref="D2:D11" si="1">C2+D3</f>
        <v>99.999999999999986</v>
      </c>
      <c r="H2" s="16">
        <f t="shared" ref="H2:H11" si="2">(B2/$B$13)*$H$23*100</f>
        <v>3.4909251777243555</v>
      </c>
    </row>
    <row r="3" spans="1:8" x14ac:dyDescent="0.25">
      <c r="A3">
        <v>8</v>
      </c>
      <c r="B3">
        <v>414.17099999999999</v>
      </c>
      <c r="C3">
        <f t="shared" si="0"/>
        <v>33.556654923985853</v>
      </c>
      <c r="D3" s="16">
        <f t="shared" si="1"/>
        <v>95.780331927884589</v>
      </c>
      <c r="E3" s="16">
        <f>'R0030_LFP_Averages'!L7+'R0030_LFP_Averages'!L14+'R0030_LFP_Averages'!L20</f>
        <v>10.037545230592052</v>
      </c>
      <c r="F3" s="16">
        <f t="shared" ref="F3:F8" si="3">100-E3</f>
        <v>89.962454769407941</v>
      </c>
      <c r="G3" s="16">
        <f>'R0030_LFP_Averages'!M7+'R0030_LFP_Averages'!M14+'R0030_LFP_Averages'!M20</f>
        <v>2.9516542050775136</v>
      </c>
      <c r="H3" s="16">
        <f t="shared" si="2"/>
        <v>27.761371167667171</v>
      </c>
    </row>
    <row r="4" spans="1:8" x14ac:dyDescent="0.25">
      <c r="A4">
        <v>5.6</v>
      </c>
      <c r="B4">
        <v>343.11699999999996</v>
      </c>
      <c r="C4">
        <f t="shared" si="0"/>
        <v>27.799770547800918</v>
      </c>
      <c r="D4" s="16">
        <f t="shared" si="1"/>
        <v>62.223677003898736</v>
      </c>
      <c r="E4" s="16">
        <f>'R0030_LFP_Averages'!J7+'R0030_LFP_Averages'!J14+'R0030_LFP_Averages'!J20</f>
        <v>5.2682906009432831</v>
      </c>
      <c r="F4" s="16">
        <f t="shared" si="3"/>
        <v>94.731709399056712</v>
      </c>
      <c r="G4" s="16">
        <f>'R0030_LFP_Averages'!K7+'R0030_LFP_Averages'!K14+'R0030_LFP_Averages'!K20</f>
        <v>2.0473433068259999</v>
      </c>
      <c r="H4" s="16">
        <f t="shared" si="2"/>
        <v>22.998709206913222</v>
      </c>
    </row>
    <row r="5" spans="1:8" x14ac:dyDescent="0.25">
      <c r="A5">
        <v>4</v>
      </c>
      <c r="B5">
        <v>168.267</v>
      </c>
      <c r="C5">
        <f t="shared" si="0"/>
        <v>13.633203807350894</v>
      </c>
      <c r="D5" s="16">
        <f t="shared" si="1"/>
        <v>34.423906456097818</v>
      </c>
      <c r="E5" s="16">
        <f>'R0030_LFP_Averages'!H7+'R0030_LFP_Averages'!H14+'R0030_LFP_Averages'!H20</f>
        <v>1.6074776525920851</v>
      </c>
      <c r="F5" s="16">
        <f t="shared" si="3"/>
        <v>98.392522347407919</v>
      </c>
      <c r="G5" s="16">
        <f>'R0030_LFP_Averages'!I7+'R0030_LFP_Averages'!I14+'R0030_LFP_Averages'!I20</f>
        <v>1.2432861219172249</v>
      </c>
      <c r="H5" s="16">
        <f t="shared" si="2"/>
        <v>11.278729419176745</v>
      </c>
    </row>
    <row r="6" spans="1:8" x14ac:dyDescent="0.25">
      <c r="A6">
        <v>2.8</v>
      </c>
      <c r="B6">
        <v>105.09299999999999</v>
      </c>
      <c r="C6">
        <f t="shared" si="0"/>
        <v>8.5147669342528687</v>
      </c>
      <c r="D6" s="16">
        <f t="shared" si="1"/>
        <v>20.790702648746922</v>
      </c>
      <c r="E6" s="16">
        <f>'R0030_LFP_Averages'!F7+'R0030_LFP_Averages'!F14+'R0030_LFP_Averages'!F20</f>
        <v>0.95142270337676549</v>
      </c>
      <c r="F6" s="16">
        <f t="shared" si="3"/>
        <v>99.048577296623236</v>
      </c>
      <c r="G6" s="16">
        <f>'R0030_LFP_Averages'!G7+'R0030_LFP_Averages'!G14+'R0030_LFP_Averages'!G20</f>
        <v>0.48955027804387169</v>
      </c>
      <c r="H6" s="16">
        <f t="shared" si="2"/>
        <v>7.0442541368749767</v>
      </c>
    </row>
    <row r="7" spans="1:8" x14ac:dyDescent="0.25">
      <c r="A7">
        <v>2</v>
      </c>
      <c r="B7">
        <v>51.103000000000002</v>
      </c>
      <c r="C7">
        <f t="shared" si="0"/>
        <v>4.1404292830266947</v>
      </c>
      <c r="D7" s="16">
        <f t="shared" si="1"/>
        <v>12.275935714494054</v>
      </c>
      <c r="E7" s="16">
        <f>'R0030_LFP_Averages'!D7+'R0030_LFP_Averages'!D14+'R0030_LFP_Averages'!D20</f>
        <v>0.99514814047600098</v>
      </c>
      <c r="F7" s="16">
        <f t="shared" si="3"/>
        <v>99.004851859523995</v>
      </c>
      <c r="G7" s="16">
        <f>'R0030_LFP_Averages'!E7+'R0030_LFP_Averages'!E14+'R0030_LFP_Averages'!E20</f>
        <v>0.4766248182243793</v>
      </c>
      <c r="H7" s="16">
        <f t="shared" si="2"/>
        <v>3.4253710442819405</v>
      </c>
    </row>
    <row r="8" spans="1:8" x14ac:dyDescent="0.25">
      <c r="A8">
        <v>1</v>
      </c>
      <c r="B8">
        <v>41.483000000000004</v>
      </c>
      <c r="C8">
        <f t="shared" si="0"/>
        <v>3.3610047932175489</v>
      </c>
      <c r="D8" s="16">
        <f t="shared" si="1"/>
        <v>8.1355064314673591</v>
      </c>
      <c r="E8" s="16">
        <f>'R0030_LFP_Averages'!B7+'R0030_LFP_Averages'!B14+'R0030_LFP_Averages'!B20</f>
        <v>0.31445209752512226</v>
      </c>
      <c r="F8" s="16">
        <f t="shared" si="3"/>
        <v>99.68554790247488</v>
      </c>
      <c r="G8" s="16">
        <f>'R0030_LFP_Averages'!C7+'R0030_LFP_Averages'!C14+'R0030_LFP_Averages'!C20</f>
        <v>0.19257082781254997</v>
      </c>
      <c r="H8" s="16">
        <f t="shared" si="2"/>
        <v>2.7805543124659562</v>
      </c>
    </row>
    <row r="9" spans="1:8" x14ac:dyDescent="0.25">
      <c r="A9">
        <v>0.124</v>
      </c>
      <c r="B9">
        <v>51.987000000000002</v>
      </c>
      <c r="C9">
        <f t="shared" si="0"/>
        <v>4.2120520739821297</v>
      </c>
      <c r="D9" s="16">
        <f t="shared" si="1"/>
        <v>4.7745016382498111</v>
      </c>
      <c r="H9" s="16">
        <f t="shared" si="2"/>
        <v>3.4846244736920577</v>
      </c>
    </row>
    <row r="10" spans="1:8" x14ac:dyDescent="0.25">
      <c r="A10">
        <v>0.04</v>
      </c>
      <c r="B10">
        <v>5.9420000000000002</v>
      </c>
      <c r="C10">
        <f t="shared" si="0"/>
        <v>0.48142830753076377</v>
      </c>
      <c r="D10" s="16">
        <f t="shared" si="1"/>
        <v>0.56244956426768122</v>
      </c>
      <c r="H10" s="16">
        <f t="shared" si="2"/>
        <v>0.39828492936076731</v>
      </c>
    </row>
    <row r="11" spans="1:8" x14ac:dyDescent="0.25">
      <c r="A11">
        <v>0</v>
      </c>
      <c r="B11">
        <v>1</v>
      </c>
      <c r="C11">
        <f t="shared" si="0"/>
        <v>8.1021256736917485E-2</v>
      </c>
      <c r="D11" s="16">
        <f t="shared" si="1"/>
        <v>8.1021256736917485E-2</v>
      </c>
      <c r="H11" s="16">
        <f t="shared" si="2"/>
        <v>6.7028766301037906E-2</v>
      </c>
    </row>
    <row r="13" spans="1:8" x14ac:dyDescent="0.25">
      <c r="A13" t="s">
        <v>35</v>
      </c>
      <c r="B13">
        <f>SUM(B2:B11)</f>
        <v>1234.2440000000001</v>
      </c>
      <c r="C13" s="16">
        <f>SUM(C2:C11)</f>
        <v>99.999999999999986</v>
      </c>
      <c r="H13" s="34">
        <f>SUM(H2:H11)</f>
        <v>82.729852634458226</v>
      </c>
    </row>
    <row r="17" spans="1:16" x14ac:dyDescent="0.25">
      <c r="B17" t="s">
        <v>36</v>
      </c>
      <c r="C17" t="s">
        <v>27</v>
      </c>
      <c r="D17" t="s">
        <v>37</v>
      </c>
      <c r="E17" t="s">
        <v>38</v>
      </c>
      <c r="F17" t="s">
        <v>39</v>
      </c>
      <c r="G17" t="s">
        <v>40</v>
      </c>
      <c r="K17" t="s">
        <v>41</v>
      </c>
      <c r="L17" t="s">
        <v>42</v>
      </c>
      <c r="M17" t="s">
        <v>43</v>
      </c>
      <c r="N17" t="s">
        <v>44</v>
      </c>
    </row>
    <row r="18" spans="1:16" x14ac:dyDescent="0.25">
      <c r="A18" t="s">
        <v>45</v>
      </c>
      <c r="B18">
        <v>201.88333333333333</v>
      </c>
      <c r="C18">
        <v>1.5342388630486814</v>
      </c>
      <c r="D18" s="43">
        <f t="shared" ref="D18:D23" si="4">B18/$B$23</f>
        <v>0.4141621362874825</v>
      </c>
      <c r="E18">
        <f t="shared" ref="E18:E23" si="5">(C18/B18)^2</f>
        <v>5.7754393193149809E-5</v>
      </c>
      <c r="F18" s="43">
        <f>D18*SQRT(E18+$E$23)</f>
        <v>3.1727983618837175E-3</v>
      </c>
      <c r="G18" s="28">
        <f t="shared" ref="G18:G23" si="6">C18/B18</f>
        <v>7.5996311221762473E-3</v>
      </c>
      <c r="H18">
        <f>D18</f>
        <v>0.4141621362874825</v>
      </c>
      <c r="K18">
        <f>100*C18/B18</f>
        <v>0.7599631122176248</v>
      </c>
      <c r="L18">
        <f>K18^2</f>
        <v>0.57754393193149822</v>
      </c>
      <c r="M18">
        <f>L18+$L$23</f>
        <v>0.58687304251657668</v>
      </c>
      <c r="N18">
        <f>SQRT(M18)</f>
        <v>0.76607639470001732</v>
      </c>
      <c r="O18">
        <f>N18*0.01*D18</f>
        <v>3.1727983618837184E-3</v>
      </c>
      <c r="P18">
        <f>O18-F18</f>
        <v>0</v>
      </c>
    </row>
    <row r="19" spans="1:16" x14ac:dyDescent="0.25">
      <c r="A19" t="s">
        <v>46</v>
      </c>
      <c r="B19">
        <v>159.06666666666663</v>
      </c>
      <c r="C19">
        <v>0.75755454515756571</v>
      </c>
      <c r="D19" s="43">
        <f t="shared" si="4"/>
        <v>0.32632406742571884</v>
      </c>
      <c r="E19">
        <f t="shared" si="5"/>
        <v>2.2681379013791586E-5</v>
      </c>
      <c r="F19" s="43">
        <f>D19*SQRT(E19+$E$23)</f>
        <v>1.5857566904666353E-3</v>
      </c>
      <c r="G19" s="28">
        <f t="shared" si="6"/>
        <v>4.7624971405546886E-3</v>
      </c>
      <c r="H19">
        <f>D19</f>
        <v>0.32632406742571884</v>
      </c>
      <c r="K19">
        <f t="shared" ref="K19:K23" si="7">100*C19/B19</f>
        <v>0.4762497140554689</v>
      </c>
      <c r="L19">
        <f t="shared" ref="L19:L23" si="8">K19^2</f>
        <v>0.22681379013791589</v>
      </c>
      <c r="M19">
        <f t="shared" ref="M19:M22" si="9">L19+$L$23</f>
        <v>0.23614290072299432</v>
      </c>
      <c r="N19">
        <f t="shared" ref="N19:N23" si="10">SQRT(M19)</f>
        <v>0.48594536804356342</v>
      </c>
      <c r="O19">
        <f t="shared" ref="O19:O23" si="11">N19*0.01*D19</f>
        <v>1.5857566904666357E-3</v>
      </c>
      <c r="P19">
        <f t="shared" ref="P19:P23" si="12">O19-F19</f>
        <v>0</v>
      </c>
    </row>
    <row r="20" spans="1:16" x14ac:dyDescent="0.25">
      <c r="A20" t="s">
        <v>47</v>
      </c>
      <c r="B20">
        <v>23.433333333333334</v>
      </c>
      <c r="C20">
        <v>6.2360956446231658E-2</v>
      </c>
      <c r="D20" s="43">
        <f t="shared" si="4"/>
        <v>4.8073306663931344E-2</v>
      </c>
      <c r="E20">
        <f t="shared" si="5"/>
        <v>7.0820240019909018E-6</v>
      </c>
      <c r="F20" s="43">
        <f>D20*SQRT(E20+$E$23)</f>
        <v>1.360987070955175E-4</v>
      </c>
      <c r="G20" s="28">
        <f t="shared" si="6"/>
        <v>2.6612072452161448E-3</v>
      </c>
      <c r="H20">
        <f>D20</f>
        <v>4.8073306663931344E-2</v>
      </c>
      <c r="K20">
        <f t="shared" si="7"/>
        <v>0.2661207245216145</v>
      </c>
      <c r="L20">
        <f t="shared" si="8"/>
        <v>7.0820240019909039E-2</v>
      </c>
      <c r="M20">
        <f t="shared" si="9"/>
        <v>8.0149350604987485E-2</v>
      </c>
      <c r="N20">
        <f t="shared" si="10"/>
        <v>0.2831066064311949</v>
      </c>
      <c r="O20">
        <f t="shared" si="11"/>
        <v>1.360987070955175E-4</v>
      </c>
      <c r="P20">
        <f t="shared" si="12"/>
        <v>0</v>
      </c>
    </row>
    <row r="21" spans="1:16" x14ac:dyDescent="0.25">
      <c r="A21" t="s">
        <v>48</v>
      </c>
      <c r="B21">
        <v>18.883333333333333</v>
      </c>
      <c r="C21">
        <v>0.89845546479623661</v>
      </c>
      <c r="D21" s="43">
        <f t="shared" si="4"/>
        <v>3.873901596744965E-2</v>
      </c>
      <c r="E21">
        <f t="shared" si="5"/>
        <v>2.2637881916881715E-3</v>
      </c>
      <c r="F21" s="43">
        <f>D21*SQRT(E21+$E$23)</f>
        <v>1.8435543609778106E-3</v>
      </c>
      <c r="G21" s="28">
        <f t="shared" si="6"/>
        <v>4.7579283219571222E-2</v>
      </c>
      <c r="H21">
        <f>D21</f>
        <v>3.873901596744965E-2</v>
      </c>
      <c r="K21">
        <f t="shared" si="7"/>
        <v>4.7579283219571229</v>
      </c>
      <c r="L21">
        <f t="shared" si="8"/>
        <v>22.637881916881724</v>
      </c>
      <c r="M21">
        <f t="shared" si="9"/>
        <v>22.647211027466803</v>
      </c>
      <c r="N21">
        <f t="shared" si="10"/>
        <v>4.7589085962504889</v>
      </c>
      <c r="O21">
        <f t="shared" si="11"/>
        <v>1.8435543609778111E-3</v>
      </c>
      <c r="P21">
        <f t="shared" si="12"/>
        <v>0</v>
      </c>
    </row>
    <row r="22" spans="1:16" x14ac:dyDescent="0.25">
      <c r="A22" t="s">
        <v>49</v>
      </c>
      <c r="B22">
        <v>84.183333333333323</v>
      </c>
      <c r="C22">
        <v>3.3489633553617337</v>
      </c>
      <c r="D22" s="43">
        <f t="shared" si="4"/>
        <v>0.17270147365541763</v>
      </c>
      <c r="E22">
        <f t="shared" si="5"/>
        <v>1.5825905010626166E-3</v>
      </c>
      <c r="F22" s="43">
        <f>D22*SQRT(E22+$E$23)</f>
        <v>6.8723977625045922E-3</v>
      </c>
      <c r="G22" s="28">
        <f t="shared" si="6"/>
        <v>3.9781786046664831E-2</v>
      </c>
      <c r="H22" s="27" t="s">
        <v>50</v>
      </c>
      <c r="K22">
        <f t="shared" si="7"/>
        <v>3.9781786046664824</v>
      </c>
      <c r="L22">
        <f t="shared" si="8"/>
        <v>15.825905010626162</v>
      </c>
      <c r="M22">
        <f t="shared" si="9"/>
        <v>15.83523412121124</v>
      </c>
      <c r="N22">
        <f t="shared" si="10"/>
        <v>3.9793509673326426</v>
      </c>
      <c r="O22">
        <f t="shared" si="11"/>
        <v>6.8723977625045904E-3</v>
      </c>
      <c r="P22">
        <f t="shared" si="12"/>
        <v>0</v>
      </c>
    </row>
    <row r="23" spans="1:16" x14ac:dyDescent="0.25">
      <c r="A23" t="s">
        <v>51</v>
      </c>
      <c r="B23">
        <v>487.45</v>
      </c>
      <c r="C23">
        <v>0.47081489639419899</v>
      </c>
      <c r="D23" s="43">
        <f t="shared" si="4"/>
        <v>1</v>
      </c>
      <c r="E23">
        <f t="shared" si="5"/>
        <v>9.3291105850784462E-7</v>
      </c>
      <c r="F23" s="43">
        <f>D23*SQRT(E23)</f>
        <v>9.6587321036865112E-4</v>
      </c>
      <c r="G23" s="28">
        <f t="shared" si="6"/>
        <v>9.6587321036865112E-4</v>
      </c>
      <c r="H23" s="38">
        <f>SUM(H18:H21)</f>
        <v>0.82729852634458245</v>
      </c>
      <c r="K23">
        <f t="shared" si="7"/>
        <v>9.6587321036865112E-2</v>
      </c>
      <c r="L23">
        <f t="shared" si="8"/>
        <v>9.3291105850784456E-3</v>
      </c>
      <c r="M23">
        <f>L23</f>
        <v>9.3291105850784456E-3</v>
      </c>
      <c r="N23">
        <f t="shared" si="10"/>
        <v>9.6587321036865112E-2</v>
      </c>
      <c r="O23">
        <f t="shared" si="11"/>
        <v>9.6587321036865112E-4</v>
      </c>
      <c r="P23">
        <f t="shared" si="12"/>
        <v>0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FBB5-EC27-4A71-ABF9-3C1CB7E5F3F1}">
  <sheetPr codeName="Sheet6"/>
  <dimension ref="A1:W35"/>
  <sheetViews>
    <sheetView workbookViewId="0">
      <selection activeCell="L28" sqref="L28"/>
    </sheetView>
  </sheetViews>
  <sheetFormatPr defaultRowHeight="15" x14ac:dyDescent="0.25"/>
  <cols>
    <col min="1" max="1" width="9.140625" style="2" customWidth="1"/>
    <col min="2" max="15" width="9.140625" customWidth="1"/>
  </cols>
  <sheetData>
    <row r="1" spans="1:18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</row>
    <row r="2" spans="1:18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t="s">
        <v>53</v>
      </c>
    </row>
    <row r="3" spans="1:18" s="9" customFormat="1" x14ac:dyDescent="0.25">
      <c r="A3" s="13" t="s">
        <v>19</v>
      </c>
      <c r="B3" s="21">
        <f>('R0030_LFP_Averages'!B3)*('R0030_LFP_Liberation'!$C$8/100)</f>
        <v>3.3610047932175489</v>
      </c>
      <c r="C3" s="21">
        <f>('R0030_LFP_Averages'!C3)*('R0030_LFP_Liberation'!$C$8/100)</f>
        <v>0</v>
      </c>
      <c r="D3" s="21">
        <f>'R0030_LFP_Averages'!D3*('R0030_LFP_Liberation'!$C$7/100)</f>
        <v>4.1404292830266947</v>
      </c>
      <c r="E3" s="21">
        <f>'R0030_LFP_Averages'!E3*('R0030_LFP_Liberation'!$C$7/100)</f>
        <v>0</v>
      </c>
      <c r="F3" s="21">
        <f>'R0030_LFP_Averages'!F3*('R0030_LFP_Liberation'!$C$6/100)</f>
        <v>8.5147669342528687</v>
      </c>
      <c r="G3" s="21">
        <f>'R0030_LFP_Averages'!G3*('R0030_LFP_Liberation'!$C$6/100)</f>
        <v>0</v>
      </c>
      <c r="H3" s="21">
        <f>'R0030_LFP_Averages'!H3*('R0030_LFP_Liberation'!$C$5/100)</f>
        <v>13.633203807350894</v>
      </c>
      <c r="I3" s="21">
        <f>'R0030_LFP_Averages'!I3*('R0030_LFP_Liberation'!$C$5/100)</f>
        <v>0</v>
      </c>
      <c r="J3" s="21">
        <f>'R0030_LFP_Averages'!J3*('R0030_LFP_Liberation'!$C$4/100)</f>
        <v>27.799770547800918</v>
      </c>
      <c r="K3" s="21">
        <f>'R0030_LFP_Averages'!K3*('R0030_LFP_Liberation'!$C$4/100)</f>
        <v>0</v>
      </c>
      <c r="L3" s="21">
        <f>'R0030_LFP_Averages'!L3*('R0030_LFP_Liberation'!$C$3/100)</f>
        <v>33.556654923985853</v>
      </c>
      <c r="M3" s="21">
        <f>'R0030_LFP_Averages'!M3*('R0030_LFP_Liberation'!$C$3/100)</f>
        <v>0</v>
      </c>
      <c r="P3" s="9">
        <f>B3+D3+F3+H3+J3+L3</f>
        <v>91.005830289634787</v>
      </c>
    </row>
    <row r="4" spans="1:18" s="24" customFormat="1" x14ac:dyDescent="0.25">
      <c r="A4" s="22" t="s">
        <v>12</v>
      </c>
      <c r="B4" s="23">
        <f>'R0030_LFP_Averages'!B4*('R0030_LFP_Liberation'!$C$8/100)</f>
        <v>9.764890703734079E-2</v>
      </c>
      <c r="C4" s="23">
        <f>('R0030_LFP_Averages'!C4)*('R0030_LFP_Liberation'!$C$8/100)</f>
        <v>1.4852132661152182E-2</v>
      </c>
      <c r="D4" s="23">
        <f>'R0030_LFP_Averages'!D4*('R0030_LFP_Liberation'!$C$7/100)</f>
        <v>0.11015644564138075</v>
      </c>
      <c r="E4" s="23">
        <f>'R0030_LFP_Averages'!E4*('R0030_LFP_Liberation'!$C$7/100)</f>
        <v>1.5188498824245224E-2</v>
      </c>
      <c r="F4" s="23">
        <f>'R0030_LFP_Averages'!F4*('R0030_LFP_Liberation'!$C$6/100)</f>
        <v>0.22851229208081114</v>
      </c>
      <c r="G4" s="23">
        <f>'R0030_LFP_Averages'!G4*('R0030_LFP_Liberation'!$C$6/100)</f>
        <v>4.1411351095378149E-2</v>
      </c>
      <c r="H4" s="23">
        <f>'R0030_LFP_Averages'!H4*('R0030_LFP_Liberation'!$C$5/100)</f>
        <v>0.54406994808169573</v>
      </c>
      <c r="I4" s="23">
        <f>'R0030_LFP_Averages'!I4*('R0030_LFP_Liberation'!$C$5/100)</f>
        <v>6.8639369365202596E-2</v>
      </c>
      <c r="J4" s="23">
        <f>'R0030_LFP_Averages'!J4*('R0030_LFP_Liberation'!$C$4/100)</f>
        <v>1.2656725953321211</v>
      </c>
      <c r="K4" s="23">
        <f>'R0030_LFP_Averages'!K4*('R0030_LFP_Liberation'!$C$4/100)</f>
        <v>0.45739452460999236</v>
      </c>
      <c r="L4" s="23">
        <f>'R0030_LFP_Averages'!L4*('R0030_LFP_Liberation'!$C$3/100)</f>
        <v>1.3500985648337893</v>
      </c>
      <c r="M4" s="23">
        <f>'R0030_LFP_Averages'!M4*('R0030_LFP_Liberation'!$C$3/100)</f>
        <v>0.16462358314894632</v>
      </c>
      <c r="O4" s="24" t="s">
        <v>54</v>
      </c>
      <c r="P4" s="24">
        <f>B4+D4+F4+H4+J4+L4</f>
        <v>3.5961587530071393</v>
      </c>
      <c r="R4" s="24" t="s">
        <v>55</v>
      </c>
    </row>
    <row r="5" spans="1:18" x14ac:dyDescent="0.25">
      <c r="A5" s="2" t="s">
        <v>8</v>
      </c>
      <c r="B5" s="16">
        <f>'R0030_LFP_Averages'!B5*('R0030_LFP_Liberation'!$C$8/100)</f>
        <v>4.3326862326881037E-3</v>
      </c>
      <c r="C5" s="16">
        <f>('R0030_LFP_Averages'!C5)*('R0030_LFP_Liberation'!$C$8/100)</f>
        <v>4.4417883245350771E-3</v>
      </c>
      <c r="D5" s="16">
        <f>'R0030_LFP_Averages'!D5*('R0030_LFP_Liberation'!$C$7/100)</f>
        <v>4.91110191409346E-3</v>
      </c>
      <c r="E5" s="16">
        <f>'R0030_LFP_Averages'!E5*('R0030_LFP_Liberation'!$C$7/100)</f>
        <v>1.5639473135041488E-3</v>
      </c>
      <c r="F5" s="16">
        <f>'R0030_LFP_Averages'!F5*('R0030_LFP_Liberation'!$C$6/100)</f>
        <v>2.5500311514091252E-3</v>
      </c>
      <c r="G5" s="16">
        <f>'R0030_LFP_Averages'!G5*('R0030_LFP_Liberation'!$C$6/100)</f>
        <v>2.5502070789399818E-3</v>
      </c>
      <c r="H5" s="16">
        <f>'R0030_LFP_Averages'!H5*('R0030_LFP_Liberation'!$C$5/100)</f>
        <v>2.1427872419385853E-2</v>
      </c>
      <c r="I5" s="16">
        <f>'R0030_LFP_Averages'!I5*('R0030_LFP_Liberation'!$C$5/100)</f>
        <v>1.585407155182831E-2</v>
      </c>
      <c r="J5" s="16">
        <f>'R0030_LFP_Averages'!J5*('R0030_LFP_Liberation'!$C$4/100)</f>
        <v>7.5600402183172086E-2</v>
      </c>
      <c r="K5" s="16">
        <f>'R0030_LFP_Averages'!K5*('R0030_LFP_Liberation'!$C$4/100)</f>
        <v>0.13094373765389514</v>
      </c>
      <c r="L5" s="16">
        <f>'R0030_LFP_Averages'!L5*('R0030_LFP_Liberation'!$C$3/100)</f>
        <v>0</v>
      </c>
      <c r="M5" s="16">
        <f>'R0030_LFP_Averages'!M5*('R0030_LFP_Liberation'!$C$3/100)</f>
        <v>0</v>
      </c>
      <c r="O5" s="16">
        <f>B5+D5+F5+H5+J5+L5</f>
        <v>0.10882209390074862</v>
      </c>
      <c r="R5" s="16">
        <f>SQRT(SUMSQ(C5,E5,G5,I5,K5,M5))</f>
        <v>0.13200868526883933</v>
      </c>
    </row>
    <row r="6" spans="1:18" x14ac:dyDescent="0.25">
      <c r="A6" s="2" t="s">
        <v>6</v>
      </c>
      <c r="B6" s="16">
        <f>'R0030_LFP_Averages'!B6*('R0030_LFP_Liberation'!$C$8/100)</f>
        <v>7.9851224350489716E-3</v>
      </c>
      <c r="C6" s="16">
        <f>('R0030_LFP_Averages'!C6)*('R0030_LFP_Liberation'!$C$8/100)</f>
        <v>1.0328222035516977E-3</v>
      </c>
      <c r="D6" s="16">
        <f>'R0030_LFP_Averages'!D6*('R0030_LFP_Liberation'!$C$7/100)</f>
        <v>4.5210853154528229E-3</v>
      </c>
      <c r="E6" s="16">
        <f>'R0030_LFP_Averages'!E6*('R0030_LFP_Liberation'!$C$7/100)</f>
        <v>3.6476285614320337E-3</v>
      </c>
      <c r="F6" s="16">
        <f>'R0030_LFP_Averages'!F6*('R0030_LFP_Liberation'!$C$6/100)</f>
        <v>6.1681826245135549E-3</v>
      </c>
      <c r="G6" s="16">
        <f>'R0030_LFP_Averages'!G6*('R0030_LFP_Liberation'!$C$6/100)</f>
        <v>3.9612256642485031E-3</v>
      </c>
      <c r="H6" s="16">
        <f>'R0030_LFP_Averages'!H6*('R0030_LFP_Liberation'!$C$5/100)</f>
        <v>3.4611390748975186E-2</v>
      </c>
      <c r="I6" s="16">
        <f>'R0030_LFP_Averages'!I6*('R0030_LFP_Liberation'!$C$5/100)</f>
        <v>3.6993917604038189E-2</v>
      </c>
      <c r="J6" s="16">
        <f>'R0030_LFP_Averages'!J6*('R0030_LFP_Liberation'!$C$4/100)</f>
        <v>2.88226143569375E-2</v>
      </c>
      <c r="K6" s="16">
        <f>'R0030_LFP_Averages'!K6*('R0030_LFP_Liberation'!$C$4/100)</f>
        <v>4.9922232473179923E-2</v>
      </c>
      <c r="L6" s="16">
        <f>'R0030_LFP_Averages'!L6*('R0030_LFP_Liberation'!$C$3/100)</f>
        <v>6.7471294505304188E-2</v>
      </c>
      <c r="M6" s="16">
        <f>'R0030_LFP_Averages'!M6*('R0030_LFP_Liberation'!$C$3/100)</f>
        <v>6.7542806136735023E-2</v>
      </c>
      <c r="O6" s="16">
        <f t="shared" ref="O6:O9" si="0">B6+D6+F6+H6+J6+L6</f>
        <v>0.14957968998623222</v>
      </c>
      <c r="R6" s="16">
        <f t="shared" ref="R6:R9" si="1">SQRT(SUMSQ(C6,E6,G6,I6,K6,M6))</f>
        <v>9.1939507939811066E-2</v>
      </c>
    </row>
    <row r="7" spans="1:18" x14ac:dyDescent="0.25">
      <c r="A7" s="2" t="s">
        <v>14</v>
      </c>
      <c r="B7" s="16">
        <f>'R0030_LFP_Averages'!B7*('R0030_LFP_Liberation'!$C$8/100)</f>
        <v>1.9588382429447368E-4</v>
      </c>
      <c r="C7" s="16">
        <f>('R0030_LFP_Averages'!C7)*('R0030_LFP_Liberation'!$C$8/100)</f>
        <v>3.3928073605892319E-4</v>
      </c>
      <c r="D7" s="16">
        <f>'R0030_LFP_Averages'!D7*('R0030_LFP_Liberation'!$C$7/100)</f>
        <v>2.3838935772623357E-4</v>
      </c>
      <c r="E7" s="16">
        <f>'R0030_LFP_Averages'!E7*('R0030_LFP_Liberation'!$C$7/100)</f>
        <v>4.1290247956554888E-4</v>
      </c>
      <c r="F7" s="16">
        <f>'R0030_LFP_Averages'!F7*('R0030_LFP_Liberation'!$C$6/100)</f>
        <v>0</v>
      </c>
      <c r="G7" s="16">
        <f>'R0030_LFP_Averages'!G7*('R0030_LFP_Liberation'!$C$6/100)</f>
        <v>0</v>
      </c>
      <c r="H7" s="16">
        <f>'R0030_LFP_Averages'!H7*('R0030_LFP_Liberation'!$C$5/100)</f>
        <v>1.2610130846788035E-3</v>
      </c>
      <c r="I7" s="16">
        <f>'R0030_LFP_Averages'!I7*('R0030_LFP_Liberation'!$C$5/100)</f>
        <v>2.1841387316728425E-3</v>
      </c>
      <c r="J7" s="16">
        <f>'R0030_LFP_Averages'!J7*('R0030_LFP_Liberation'!$C$4/100)</f>
        <v>7.5411001753281456E-2</v>
      </c>
      <c r="K7" s="16">
        <f>'R0030_LFP_Averages'!K7*('R0030_LFP_Liberation'!$C$4/100)</f>
        <v>7.6787060647287395E-2</v>
      </c>
      <c r="L7" s="16">
        <f>'R0030_LFP_Averages'!L7*('R0030_LFP_Liberation'!$C$3/100)</f>
        <v>0</v>
      </c>
      <c r="M7" s="16">
        <f>'R0030_LFP_Averages'!M7*('R0030_LFP_Liberation'!$C$3/100)</f>
        <v>0</v>
      </c>
      <c r="O7" s="16">
        <f t="shared" si="0"/>
        <v>7.710628801998097E-2</v>
      </c>
      <c r="R7" s="16">
        <f t="shared" si="1"/>
        <v>7.6819976208827856E-2</v>
      </c>
    </row>
    <row r="8" spans="1:18" x14ac:dyDescent="0.25">
      <c r="A8" s="2" t="s">
        <v>15</v>
      </c>
      <c r="B8" s="16">
        <f>'R0030_LFP_Averages'!B8*('R0030_LFP_Liberation'!$C$8/100)</f>
        <v>1.6601193255538566E-2</v>
      </c>
      <c r="C8" s="16">
        <f>('R0030_LFP_Averages'!C8)*('R0030_LFP_Liberation'!$C$8/100)</f>
        <v>3.2278790226533379E-3</v>
      </c>
      <c r="D8" s="16">
        <f>'R0030_LFP_Averages'!D8*('R0030_LFP_Liberation'!$C$7/100)</f>
        <v>1.2443117312460623E-2</v>
      </c>
      <c r="E8" s="16">
        <f>'R0030_LFP_Averages'!E8*('R0030_LFP_Liberation'!$C$7/100)</f>
        <v>4.3787407522413429E-3</v>
      </c>
      <c r="F8" s="16">
        <f>'R0030_LFP_Averages'!F8*('R0030_LFP_Liberation'!$C$6/100)</f>
        <v>1.8664465399622063E-2</v>
      </c>
      <c r="G8" s="16">
        <f>'R0030_LFP_Averages'!G8*('R0030_LFP_Liberation'!$C$6/100)</f>
        <v>1.3393252137493029E-2</v>
      </c>
      <c r="H8" s="16">
        <f>'R0030_LFP_Averages'!H8*('R0030_LFP_Liberation'!$C$5/100)</f>
        <v>2.2007883588368339E-2</v>
      </c>
      <c r="I8" s="16">
        <f>'R0030_LFP_Averages'!I8*('R0030_LFP_Liberation'!$C$5/100)</f>
        <v>1.9166732430247427E-2</v>
      </c>
      <c r="J8" s="16">
        <f>'R0030_LFP_Averages'!J8*('R0030_LFP_Liberation'!$C$4/100)</f>
        <v>0.26920330409316334</v>
      </c>
      <c r="K8" s="16">
        <f>'R0030_LFP_Averages'!K8*('R0030_LFP_Liberation'!$C$4/100)</f>
        <v>0.34970682653299845</v>
      </c>
      <c r="L8" s="16">
        <f>'R0030_LFP_Averages'!L8*('R0030_LFP_Liberation'!$C$3/100)</f>
        <v>7.7109229437651763E-2</v>
      </c>
      <c r="M8" s="16">
        <f>'R0030_LFP_Averages'!M8*('R0030_LFP_Liberation'!$C$3/100)</f>
        <v>8.0455289624688467E-2</v>
      </c>
      <c r="O8" s="16">
        <f t="shared" si="0"/>
        <v>0.41602919308680469</v>
      </c>
      <c r="R8" s="16">
        <f t="shared" si="1"/>
        <v>0.35964462120377189</v>
      </c>
    </row>
    <row r="9" spans="1:18" x14ac:dyDescent="0.25">
      <c r="A9" s="2" t="s">
        <v>16</v>
      </c>
      <c r="B9" s="16">
        <f>'R0030_LFP_Averages'!B9*('R0030_LFP_Liberation'!$C$8/100)</f>
        <v>6.8534021289770666E-2</v>
      </c>
      <c r="C9" s="16">
        <f>('R0030_LFP_Averages'!C9)*('R0030_LFP_Liberation'!$C$8/100)</f>
        <v>7.4180236390817608E-3</v>
      </c>
      <c r="D9" s="16">
        <f>'R0030_LFP_Averages'!D9*('R0030_LFP_Liberation'!$C$7/100)</f>
        <v>8.8042751741647607E-2</v>
      </c>
      <c r="E9" s="16">
        <f>'R0030_LFP_Averages'!E9*('R0030_LFP_Liberation'!$C$7/100)</f>
        <v>8.8277298983857489E-3</v>
      </c>
      <c r="F9" s="16">
        <f>'R0030_LFP_Averages'!F9*('R0030_LFP_Liberation'!$C$6/100)</f>
        <v>0.20112961290526638</v>
      </c>
      <c r="G9" s="16">
        <f>'R0030_LFP_Averages'!G9*('R0030_LFP_Liberation'!$C$6/100)</f>
        <v>2.8927379753218595E-2</v>
      </c>
      <c r="H9" s="16">
        <f>'R0030_LFP_Averages'!H9*('R0030_LFP_Liberation'!$C$5/100)</f>
        <v>0.46476178824028763</v>
      </c>
      <c r="I9" s="16">
        <f>'R0030_LFP_Averages'!I9*('R0030_LFP_Liberation'!$C$5/100)</f>
        <v>2.3769548885323458E-2</v>
      </c>
      <c r="J9" s="16">
        <f>'R0030_LFP_Averages'!J9*('R0030_LFP_Liberation'!$C$4/100)</f>
        <v>0.81663527294556648</v>
      </c>
      <c r="K9" s="16">
        <f>'R0030_LFP_Averages'!K9*('R0030_LFP_Liberation'!$C$4/100)</f>
        <v>0.12802872328310375</v>
      </c>
      <c r="L9" s="16">
        <f>'R0030_LFP_Averages'!L9*('R0030_LFP_Liberation'!$C$3/100)</f>
        <v>1.205518040890833</v>
      </c>
      <c r="M9" s="16">
        <f>'R0030_LFP_Averages'!M9*('R0030_LFP_Liberation'!$C$3/100)</f>
        <v>0.17116138934514077</v>
      </c>
      <c r="O9" s="16">
        <f t="shared" si="0"/>
        <v>2.844621488013372</v>
      </c>
      <c r="R9" s="16">
        <f t="shared" si="1"/>
        <v>0.21730696222516194</v>
      </c>
    </row>
    <row r="10" spans="1:18" s="10" customFormat="1" x14ac:dyDescent="0.25">
      <c r="A10" s="14" t="s">
        <v>20</v>
      </c>
      <c r="B10" s="18">
        <f>'R0030_LFP_Averages'!B10*('R0030_LFP_Liberation'!$C$8/100)</f>
        <v>3.2633558861802081</v>
      </c>
      <c r="C10" s="18">
        <f>('R0030_LFP_Averages'!C10)*('R0030_LFP_Liberation'!$C$8/100)</f>
        <v>1.4852132661151991E-2</v>
      </c>
      <c r="D10" s="18">
        <f>'R0030_LFP_Averages'!D10*('R0030_LFP_Liberation'!$C$7/100)</f>
        <v>4.0302728373853141</v>
      </c>
      <c r="E10" s="18">
        <f>'R0030_LFP_Averages'!E10*('R0030_LFP_Liberation'!$C$7/100)</f>
        <v>1.5188498824244832E-2</v>
      </c>
      <c r="F10" s="18">
        <f>'R0030_LFP_Averages'!F10*('R0030_LFP_Liberation'!$C$6/100)</f>
        <v>8.2862546421720573</v>
      </c>
      <c r="G10" s="18">
        <f>'R0030_LFP_Averages'!G10*('R0030_LFP_Liberation'!$C$6/100)</f>
        <v>4.1411351095378336E-2</v>
      </c>
      <c r="H10" s="18">
        <f>'R0030_LFP_Averages'!H10*('R0030_LFP_Liberation'!$C$5/100)</f>
        <v>13.0891338592692</v>
      </c>
      <c r="I10" s="18">
        <f>'R0030_LFP_Averages'!I10*('R0030_LFP_Liberation'!$C$5/100)</f>
        <v>6.8639369365203026E-2</v>
      </c>
      <c r="J10" s="18">
        <f>'R0030_LFP_Averages'!J10*('R0030_LFP_Liberation'!$C$4/100)</f>
        <v>26.534097952468795</v>
      </c>
      <c r="K10" s="18">
        <f>'R0030_LFP_Averages'!K10*('R0030_LFP_Liberation'!$C$4/100)</f>
        <v>0.45739452460999092</v>
      </c>
      <c r="L10" s="18">
        <f>'R0030_LFP_Averages'!L10*('R0030_LFP_Liberation'!$C$3/100)</f>
        <v>32.20655635915206</v>
      </c>
      <c r="M10" s="18">
        <f>'R0030_LFP_Averages'!M10*('R0030_LFP_Liberation'!$C$3/100)</f>
        <v>0.16462358314894923</v>
      </c>
      <c r="P10" s="10">
        <f>B10+D10+F10+H10+J10+L10</f>
        <v>87.409671536627627</v>
      </c>
    </row>
    <row r="11" spans="1:18" s="11" customFormat="1" x14ac:dyDescent="0.25">
      <c r="A11" s="15" t="s">
        <v>17</v>
      </c>
      <c r="B11" s="17">
        <f>'R0030_LFP_Averages'!B11*('R0030_LFP_Liberation'!$C$8/100)</f>
        <v>2.1397403687975975</v>
      </c>
      <c r="C11" s="17">
        <f>('R0030_LFP_Averages'!C11)*('R0030_LFP_Liberation'!$C$8/100)</f>
        <v>2.8729522663061242E-2</v>
      </c>
      <c r="D11" s="17">
        <f>'R0030_LFP_Averages'!D11*('R0030_LFP_Liberation'!$C$7/100)</f>
        <v>2.5809014207179146</v>
      </c>
      <c r="E11" s="17">
        <f>'R0030_LFP_Averages'!E11*('R0030_LFP_Liberation'!$C$7/100)</f>
        <v>4.6734720263745172E-2</v>
      </c>
      <c r="F11" s="17">
        <f>'R0030_LFP_Averages'!F11*('R0030_LFP_Liberation'!$C$6/100)</f>
        <v>4.975461698353814</v>
      </c>
      <c r="G11" s="17">
        <f>'R0030_LFP_Averages'!G11*('R0030_LFP_Liberation'!$C$6/100)</f>
        <v>0.22359276658779534</v>
      </c>
      <c r="H11" s="17">
        <f>'R0030_LFP_Averages'!H11*('R0030_LFP_Liberation'!$C$5/100)</f>
        <v>7.1101091895251782</v>
      </c>
      <c r="I11" s="17">
        <f>'R0030_LFP_Averages'!I11*('R0030_LFP_Liberation'!$C$5/100)</f>
        <v>0.19952448927770688</v>
      </c>
      <c r="J11" s="17">
        <f>'R0030_LFP_Averages'!J11*('R0030_LFP_Liberation'!$C$4/100)</f>
        <v>14.446362899313385</v>
      </c>
      <c r="K11" s="17">
        <f>'R0030_LFP_Averages'!K11*('R0030_LFP_Liberation'!$C$4/100)</f>
        <v>1.0164453444560877</v>
      </c>
      <c r="L11" s="17">
        <f>'R0030_LFP_Averages'!L11*('R0030_LFP_Liberation'!$C$3/100)</f>
        <v>14.56737909492306</v>
      </c>
      <c r="M11" s="17">
        <f>'R0030_LFP_Averages'!M11*('R0030_LFP_Liberation'!$C$3/100)</f>
        <v>1.0932523825714828</v>
      </c>
      <c r="P11" s="11">
        <f>B11+D11+F11+H11+J11+L11</f>
        <v>45.819954671630953</v>
      </c>
    </row>
    <row r="12" spans="1:18" x14ac:dyDescent="0.25">
      <c r="A12" s="2" t="s">
        <v>8</v>
      </c>
      <c r="B12" s="16">
        <f>'R0030_LFP_Averages'!B12*('R0030_LFP_Liberation'!$C$8/100)</f>
        <v>2.0639094772441657</v>
      </c>
      <c r="C12" s="16">
        <f>('R0030_LFP_Averages'!C12)*('R0030_LFP_Liberation'!$C$8/100)</f>
        <v>3.0574212443994515E-2</v>
      </c>
      <c r="D12" s="16">
        <f>'R0030_LFP_Averages'!D12*('R0030_LFP_Liberation'!$C$7/100)</f>
        <v>2.457060588461871</v>
      </c>
      <c r="E12" s="16">
        <f>'R0030_LFP_Averages'!E12*('R0030_LFP_Liberation'!$C$7/100)</f>
        <v>6.5804771135802076E-2</v>
      </c>
      <c r="F12" s="16">
        <f>'R0030_LFP_Averages'!F12*('R0030_LFP_Liberation'!$C$6/100)</f>
        <v>4.4305539231243332</v>
      </c>
      <c r="G12" s="16">
        <f>'R0030_LFP_Averages'!G12*('R0030_LFP_Liberation'!$C$6/100)</f>
        <v>6.9660247647978846E-2</v>
      </c>
      <c r="H12" s="16">
        <f>'R0030_LFP_Averages'!H12*('R0030_LFP_Liberation'!$C$5/100)</f>
        <v>6.4783522099172588</v>
      </c>
      <c r="I12" s="16">
        <f>'R0030_LFP_Averages'!I12*('R0030_LFP_Liberation'!$C$5/100)</f>
        <v>0.267203532384996</v>
      </c>
      <c r="J12" s="16">
        <f>'R0030_LFP_Averages'!J12*('R0030_LFP_Liberation'!$C$4/100)</f>
        <v>12.80222992369305</v>
      </c>
      <c r="K12" s="16">
        <f>'R0030_LFP_Averages'!K12*('R0030_LFP_Liberation'!$C$4/100)</f>
        <v>0.89661606079947498</v>
      </c>
      <c r="L12" s="16">
        <f>'R0030_LFP_Averages'!L12*('R0030_LFP_Liberation'!$C$3/100)</f>
        <v>12.54690710854819</v>
      </c>
      <c r="M12" s="16">
        <f>'R0030_LFP_Averages'!M12*('R0030_LFP_Liberation'!$C$3/100)</f>
        <v>0.48991450860168229</v>
      </c>
      <c r="O12" s="16">
        <f t="shared" ref="O12:O16" si="2">B12+D12+F12+H12+J12+L12</f>
        <v>40.779013230988866</v>
      </c>
      <c r="R12" s="16">
        <f>SQRT(SUMSQ(C12,E12,G12,I12,K12,M12))</f>
        <v>1.0608731848879012</v>
      </c>
    </row>
    <row r="13" spans="1:18" x14ac:dyDescent="0.25">
      <c r="A13" s="2" t="s">
        <v>6</v>
      </c>
      <c r="B13" s="16">
        <f>'R0030_LFP_Averages'!B13*('R0030_LFP_Liberation'!$C$8/100)</f>
        <v>5.5033883245919665E-2</v>
      </c>
      <c r="C13" s="16">
        <f>('R0030_LFP_Averages'!C13)*('R0030_LFP_Liberation'!$C$8/100)</f>
        <v>9.9990374340409131E-3</v>
      </c>
      <c r="D13" s="16">
        <f>'R0030_LFP_Averages'!D13*('R0030_LFP_Liberation'!$C$7/100)</f>
        <v>6.3978829560169745E-2</v>
      </c>
      <c r="E13" s="16">
        <f>'R0030_LFP_Averages'!E13*('R0030_LFP_Liberation'!$C$7/100)</f>
        <v>3.0556952391429304E-2</v>
      </c>
      <c r="F13" s="16">
        <f>'R0030_LFP_Averages'!F13*('R0030_LFP_Liberation'!$C$6/100)</f>
        <v>0.26597489596823548</v>
      </c>
      <c r="G13" s="16">
        <f>'R0030_LFP_Averages'!G13*('R0030_LFP_Liberation'!$C$6/100)</f>
        <v>0.13177318311847305</v>
      </c>
      <c r="H13" s="16">
        <f>'R0030_LFP_Averages'!H13*('R0030_LFP_Liberation'!$C$5/100)</f>
        <v>0.40971892945053684</v>
      </c>
      <c r="I13" s="16">
        <f>'R0030_LFP_Averages'!I13*('R0030_LFP_Liberation'!$C$5/100)</f>
        <v>7.4908033682113767E-2</v>
      </c>
      <c r="J13" s="16">
        <f>'R0030_LFP_Averages'!J13*('R0030_LFP_Liberation'!$C$4/100)</f>
        <v>0.55563072175076678</v>
      </c>
      <c r="K13" s="16">
        <f>'R0030_LFP_Averages'!K13*('R0030_LFP_Liberation'!$C$4/100)</f>
        <v>0.13867626894495336</v>
      </c>
      <c r="L13" s="16">
        <f>'R0030_LFP_Averages'!L13*('R0030_LFP_Liberation'!$C$3/100)</f>
        <v>0.35928352827625093</v>
      </c>
      <c r="M13" s="16">
        <f>'R0030_LFP_Averages'!M13*('R0030_LFP_Liberation'!$C$3/100)</f>
        <v>0.23020567621620017</v>
      </c>
      <c r="O13" s="16">
        <f t="shared" si="2"/>
        <v>1.7096207882518795</v>
      </c>
      <c r="R13" s="16">
        <f t="shared" ref="R13:R16" si="3">SQRT(SUMSQ(C13,E13,G13,I13,K13,M13))</f>
        <v>0.3102174307143391</v>
      </c>
    </row>
    <row r="14" spans="1:18" x14ac:dyDescent="0.25">
      <c r="A14" s="2" t="s">
        <v>14</v>
      </c>
      <c r="B14" s="16">
        <f>'R0030_LFP_Averages'!B14*('R0030_LFP_Liberation'!$C$8/100)</f>
        <v>8.0983137210279901E-3</v>
      </c>
      <c r="C14" s="16">
        <f>('R0030_LFP_Averages'!C14)*('R0030_LFP_Liberation'!$C$8/100)</f>
        <v>4.4715834871072151E-3</v>
      </c>
      <c r="D14" s="16">
        <f>'R0030_LFP_Averages'!D14*('R0030_LFP_Liberation'!$C$7/100)</f>
        <v>2.9688082191528249E-2</v>
      </c>
      <c r="E14" s="16">
        <f>'R0030_LFP_Averages'!E14*('R0030_LFP_Liberation'!$C$7/100)</f>
        <v>1.4791606517922613E-2</v>
      </c>
      <c r="F14" s="16">
        <f>'R0030_LFP_Averages'!F14*('R0030_LFP_Liberation'!$C$6/100)</f>
        <v>5.8277211709933316E-2</v>
      </c>
      <c r="G14" s="16">
        <f>'R0030_LFP_Averages'!G14*('R0030_LFP_Liberation'!$C$6/100)</f>
        <v>3.5875665899767546E-2</v>
      </c>
      <c r="H14" s="16">
        <f>'R0030_LFP_Averages'!H14*('R0030_LFP_Liberation'!$C$5/100)</f>
        <v>8.7790252036117566E-2</v>
      </c>
      <c r="I14" s="16">
        <f>'R0030_LFP_Averages'!I14*('R0030_LFP_Liberation'!$C$5/100)</f>
        <v>4.27582854171909E-2</v>
      </c>
      <c r="J14" s="16">
        <f>'R0030_LFP_Averages'!J14*('R0030_LFP_Liberation'!$C$4/100)</f>
        <v>0.89544899316244342</v>
      </c>
      <c r="K14" s="16">
        <f>'R0030_LFP_Averages'!K14*('R0030_LFP_Liberation'!$C$4/100)</f>
        <v>0.17573445651400602</v>
      </c>
      <c r="L14" s="16">
        <f>'R0030_LFP_Averages'!L14*('R0030_LFP_Liberation'!$C$3/100)</f>
        <v>0.85031227914613861</v>
      </c>
      <c r="M14" s="16">
        <f>'R0030_LFP_Averages'!M14*('R0030_LFP_Liberation'!$C$3/100)</f>
        <v>0.2020385344850622</v>
      </c>
      <c r="O14" s="16">
        <f t="shared" si="2"/>
        <v>1.929615131967189</v>
      </c>
      <c r="R14" s="16">
        <f t="shared" si="3"/>
        <v>0.27396402990352159</v>
      </c>
    </row>
    <row r="15" spans="1:18" x14ac:dyDescent="0.25">
      <c r="A15" s="2" t="s">
        <v>15</v>
      </c>
      <c r="B15" s="16">
        <f>'R0030_LFP_Averages'!B15*('R0030_LFP_Liberation'!$C$8/100)</f>
        <v>1.1736486574796609E-2</v>
      </c>
      <c r="C15" s="16">
        <f>('R0030_LFP_Averages'!C15)*('R0030_LFP_Liberation'!$C$8/100)</f>
        <v>4.0792863122269306E-3</v>
      </c>
      <c r="D15" s="16">
        <f>'R0030_LFP_Averages'!D15*('R0030_LFP_Liberation'!$C$7/100)</f>
        <v>2.8730820939565041E-2</v>
      </c>
      <c r="E15" s="16">
        <f>'R0030_LFP_Averages'!E15*('R0030_LFP_Liberation'!$C$7/100)</f>
        <v>1.6936486303074153E-2</v>
      </c>
      <c r="F15" s="16">
        <f>'R0030_LFP_Averages'!F15*('R0030_LFP_Liberation'!$C$6/100)</f>
        <v>0.21466535600964148</v>
      </c>
      <c r="G15" s="16">
        <f>'R0030_LFP_Averages'!G15*('R0030_LFP_Liberation'!$C$6/100)</f>
        <v>7.3554982528541438E-2</v>
      </c>
      <c r="H15" s="16">
        <f>'R0030_LFP_Averages'!H15*('R0030_LFP_Liberation'!$C$5/100)</f>
        <v>0.12829733175654687</v>
      </c>
      <c r="I15" s="16">
        <f>'R0030_LFP_Averages'!I15*('R0030_LFP_Liberation'!$C$5/100)</f>
        <v>6.3730533681368925E-2</v>
      </c>
      <c r="J15" s="16">
        <f>'R0030_LFP_Averages'!J15*('R0030_LFP_Liberation'!$C$4/100)</f>
        <v>0.17374062909701249</v>
      </c>
      <c r="K15" s="16">
        <f>'R0030_LFP_Averages'!K15*('R0030_LFP_Liberation'!$C$4/100)</f>
        <v>0.138773312576708</v>
      </c>
      <c r="L15" s="16">
        <f>'R0030_LFP_Averages'!L15*('R0030_LFP_Liberation'!$C$3/100)</f>
        <v>0.81087617895248199</v>
      </c>
      <c r="M15" s="16">
        <f>'R0030_LFP_Averages'!M15*('R0030_LFP_Liberation'!$C$3/100)</f>
        <v>0.72005117146293118</v>
      </c>
      <c r="O15" s="16">
        <f t="shared" si="2"/>
        <v>1.3680468033300444</v>
      </c>
      <c r="R15" s="16">
        <f t="shared" si="3"/>
        <v>0.73993724283337015</v>
      </c>
    </row>
    <row r="16" spans="1:18" x14ac:dyDescent="0.25">
      <c r="A16" s="2" t="s">
        <v>16</v>
      </c>
      <c r="B16" s="16">
        <f>'R0030_LFP_Averages'!B16*('R0030_LFP_Liberation'!$C$8/100)</f>
        <v>9.622080116877083E-4</v>
      </c>
      <c r="C16" s="16">
        <f>('R0030_LFP_Averages'!C16)*('R0030_LFP_Liberation'!$C$8/100)</f>
        <v>6.7784267328438214E-4</v>
      </c>
      <c r="D16" s="16">
        <f>'R0030_LFP_Averages'!D16*('R0030_LFP_Liberation'!$C$7/100)</f>
        <v>1.4430995647808887E-3</v>
      </c>
      <c r="E16" s="16">
        <f>'R0030_LFP_Averages'!E16*('R0030_LFP_Liberation'!$C$7/100)</f>
        <v>8.5326902578063851E-4</v>
      </c>
      <c r="F16" s="16">
        <f>'R0030_LFP_Averages'!F16*('R0030_LFP_Liberation'!$C$6/100)</f>
        <v>5.9903115416707732E-3</v>
      </c>
      <c r="G16" s="16">
        <f>'R0030_LFP_Averages'!G16*('R0030_LFP_Liberation'!$C$6/100)</f>
        <v>4.0597098292150038E-3</v>
      </c>
      <c r="H16" s="16">
        <f>'R0030_LFP_Averages'!H16*('R0030_LFP_Liberation'!$C$5/100)</f>
        <v>5.9504663647179535E-3</v>
      </c>
      <c r="I16" s="16">
        <f>'R0030_LFP_Averages'!I16*('R0030_LFP_Liberation'!$C$5/100)</f>
        <v>4.1898080513781463E-3</v>
      </c>
      <c r="J16" s="16">
        <f>'R0030_LFP_Averages'!J16*('R0030_LFP_Liberation'!$C$4/100)</f>
        <v>1.9312631610114241E-2</v>
      </c>
      <c r="K16" s="16">
        <f>'R0030_LFP_Averages'!K16*('R0030_LFP_Liberation'!$C$4/100)</f>
        <v>1.9522881656970033E-2</v>
      </c>
      <c r="L16" s="16">
        <f>'R0030_LFP_Averages'!L16*('R0030_LFP_Liberation'!$C$3/100)</f>
        <v>0</v>
      </c>
      <c r="M16" s="16">
        <f>'R0030_LFP_Averages'!M16*('R0030_LFP_Liberation'!$C$3/100)</f>
        <v>0</v>
      </c>
      <c r="O16" s="16">
        <f t="shared" si="2"/>
        <v>3.3658717092971566E-2</v>
      </c>
      <c r="R16" s="16">
        <f t="shared" si="3"/>
        <v>2.0405052862390652E-2</v>
      </c>
    </row>
    <row r="17" spans="1:23" s="20" customFormat="1" x14ac:dyDescent="0.25">
      <c r="A17" s="12" t="s">
        <v>18</v>
      </c>
      <c r="B17" s="19">
        <f>'R0030_LFP_Averages'!B17*('R0030_LFP_Liberation'!$C$8/100)</f>
        <v>1.1236155173826101</v>
      </c>
      <c r="C17" s="19">
        <f>('R0030_LFP_Averages'!C17)*('R0030_LFP_Liberation'!$C$8/100)</f>
        <v>2.3208715497411075E-2</v>
      </c>
      <c r="D17" s="19">
        <f>'R0030_LFP_Averages'!D17*('R0030_LFP_Liberation'!$C$7/100)</f>
        <v>1.4493714166673994</v>
      </c>
      <c r="E17" s="19">
        <f>'R0030_LFP_Averages'!E17*('R0030_LFP_Liberation'!$C$7/100)</f>
        <v>4.4342305418465164E-2</v>
      </c>
      <c r="F17" s="19">
        <f>'R0030_LFP_Averages'!F17*('R0030_LFP_Liberation'!$C$6/100)</f>
        <v>3.3107929438182424</v>
      </c>
      <c r="G17" s="19">
        <f>'R0030_LFP_Averages'!G17*('R0030_LFP_Liberation'!$C$6/100)</f>
        <v>0.21493946937888483</v>
      </c>
      <c r="H17" s="19">
        <f>'R0030_LFP_Averages'!H17*('R0030_LFP_Liberation'!$C$5/100)</f>
        <v>5.9790246697440192</v>
      </c>
      <c r="I17" s="19">
        <f>'R0030_LFP_Averages'!I17*('R0030_LFP_Liberation'!$C$5/100)</f>
        <v>0.21866136152540419</v>
      </c>
      <c r="J17" s="19">
        <f>'R0030_LFP_Averages'!J17*('R0030_LFP_Liberation'!$C$4/100)</f>
        <v>12.087735053155411</v>
      </c>
      <c r="K17" s="19">
        <f>'R0030_LFP_Averages'!K17*('R0030_LFP_Liberation'!$C$4/100)</f>
        <v>0.56406510473598881</v>
      </c>
      <c r="L17" s="19">
        <f>'R0030_LFP_Averages'!L17*('R0030_LFP_Liberation'!$C$3/100)</f>
        <v>17.639177264229001</v>
      </c>
      <c r="M17" s="19">
        <f>'R0030_LFP_Averages'!M17*('R0030_LFP_Liberation'!$C$3/100)</f>
        <v>1.2229679598829035</v>
      </c>
      <c r="P17" s="20">
        <f>B17+D17+F17+H17+J17+L17</f>
        <v>41.589716864996689</v>
      </c>
    </row>
    <row r="18" spans="1:23" x14ac:dyDescent="0.25">
      <c r="A18" s="2" t="s">
        <v>8</v>
      </c>
      <c r="B18" s="16">
        <f>'R0030_LFP_Averages'!B18*('R0030_LFP_Liberation'!$C$8/100)</f>
        <v>1.0474677499876385E-3</v>
      </c>
      <c r="C18" s="16">
        <f>('R0030_LFP_Averages'!C18)*('R0030_LFP_Liberation'!$C$8/100)</f>
        <v>8.288950664951017E-4</v>
      </c>
      <c r="D18" s="16">
        <f>'R0030_LFP_Averages'!D18*('R0030_LFP_Liberation'!$C$7/100)</f>
        <v>1.4333055762809567E-3</v>
      </c>
      <c r="E18" s="16">
        <f>'R0030_LFP_Averages'!E18*('R0030_LFP_Liberation'!$C$7/100)</f>
        <v>1.480227950564315E-3</v>
      </c>
      <c r="F18" s="16">
        <f>'R0030_LFP_Averages'!F18*('R0030_LFP_Liberation'!$C$6/100)</f>
        <v>1.7239419972346629E-2</v>
      </c>
      <c r="G18" s="16">
        <f>'R0030_LFP_Averages'!G18*('R0030_LFP_Liberation'!$C$6/100)</f>
        <v>2.2207970001051375E-2</v>
      </c>
      <c r="H18" s="16">
        <f>'R0030_LFP_Averages'!H18*('R0030_LFP_Liberation'!$C$5/100)</f>
        <v>0</v>
      </c>
      <c r="I18" s="16">
        <f>'R0030_LFP_Averages'!I18*('R0030_LFP_Liberation'!$C$5/100)</f>
        <v>0</v>
      </c>
      <c r="J18" s="16">
        <f>'R0030_LFP_Averages'!J18*('R0030_LFP_Liberation'!$C$4/100)</f>
        <v>6.8107530010699302E-2</v>
      </c>
      <c r="K18" s="16">
        <f>'R0030_LFP_Averages'!K18*('R0030_LFP_Liberation'!$C$4/100)</f>
        <v>0.11796570235655326</v>
      </c>
      <c r="L18" s="16">
        <f>'R0030_LFP_Averages'!L18*('R0030_LFP_Liberation'!$C$3/100)</f>
        <v>0.13415789467213804</v>
      </c>
      <c r="M18" s="16">
        <f>'R0030_LFP_Averages'!M18*('R0030_LFP_Liberation'!$C$3/100)</f>
        <v>0.13428870362230808</v>
      </c>
      <c r="O18" s="16">
        <f t="shared" ref="O18:O22" si="4">B18+D18+F18+H18+J18+L18</f>
        <v>0.22198561798145255</v>
      </c>
      <c r="R18" s="16">
        <f>SQRT(SUMSQ(C18,E18,G18,I18,K18,M18))</f>
        <v>0.18012616391412856</v>
      </c>
    </row>
    <row r="19" spans="1:23" x14ac:dyDescent="0.25">
      <c r="A19" s="2" t="s">
        <v>6</v>
      </c>
      <c r="B19" s="16">
        <f>'R0030_LFP_Averages'!B19*('R0030_LFP_Liberation'!$C$8/100)</f>
        <v>1.0859791617633452</v>
      </c>
      <c r="C19" s="16">
        <f>('R0030_LFP_Averages'!C19)*('R0030_LFP_Liberation'!$C$8/100)</f>
        <v>2.1773619051286497E-2</v>
      </c>
      <c r="D19" s="16">
        <f>'R0030_LFP_Averages'!D19*('R0030_LFP_Liberation'!$C$7/100)</f>
        <v>1.3362291081158044</v>
      </c>
      <c r="E19" s="16">
        <f>'R0030_LFP_Averages'!E19*('R0030_LFP_Liberation'!$C$7/100)</f>
        <v>3.519564906049464E-2</v>
      </c>
      <c r="F19" s="16">
        <f>'R0030_LFP_Averages'!F19*('R0030_LFP_Liberation'!$C$6/100)</f>
        <v>3.0074018741419741</v>
      </c>
      <c r="G19" s="16">
        <f>'R0030_LFP_Averages'!G19*('R0030_LFP_Liberation'!$C$6/100)</f>
        <v>0.18211954153395615</v>
      </c>
      <c r="H19" s="16">
        <f>'R0030_LFP_Averages'!H19*('R0030_LFP_Liberation'!$C$5/100)</f>
        <v>5.0748708180150972</v>
      </c>
      <c r="I19" s="16">
        <f>'R0030_LFP_Averages'!I19*('R0030_LFP_Liberation'!$C$5/100)</f>
        <v>0.20872105799614746</v>
      </c>
      <c r="J19" s="16">
        <f>'R0030_LFP_Averages'!J19*('R0030_LFP_Liberation'!$C$4/100)</f>
        <v>10.093573310977169</v>
      </c>
      <c r="K19" s="16">
        <f>'R0030_LFP_Averages'!K19*('R0030_LFP_Liberation'!$C$4/100)</f>
        <v>0.45711084974103672</v>
      </c>
      <c r="L19" s="16">
        <f>'R0030_LFP_Averages'!L19*('R0030_LFP_Liberation'!$C$3/100)</f>
        <v>12.272680584508487</v>
      </c>
      <c r="M19" s="16">
        <f>'R0030_LFP_Averages'!M19*('R0030_LFP_Liberation'!$C$3/100)</f>
        <v>1.9607324930248915</v>
      </c>
      <c r="O19" s="16">
        <f t="shared" si="4"/>
        <v>32.870734857521875</v>
      </c>
      <c r="R19" s="16">
        <f t="shared" ref="R19:R22" si="5">SQRT(SUMSQ(C19,E19,G19,I19,K19,M19))</f>
        <v>2.0326994538823313</v>
      </c>
    </row>
    <row r="20" spans="1:23" x14ac:dyDescent="0.25">
      <c r="A20" s="2" t="s">
        <v>14</v>
      </c>
      <c r="B20" s="16">
        <f>'R0030_LFP_Averages'!B20*('R0030_LFP_Liberation'!$C$8/100)</f>
        <v>2.2745525248700159E-3</v>
      </c>
      <c r="C20" s="16">
        <f>('R0030_LFP_Averages'!C20)*('R0030_LFP_Liberation'!$C$8/100)</f>
        <v>1.6614505299523785E-3</v>
      </c>
      <c r="D20" s="16">
        <f>'R0030_LFP_Averages'!D20*('R0030_LFP_Liberation'!$C$7/100)</f>
        <v>1.1276933468509489E-2</v>
      </c>
      <c r="E20" s="16">
        <f>'R0030_LFP_Averages'!E20*('R0030_LFP_Liberation'!$C$7/100)</f>
        <v>4.5298045464467925E-3</v>
      </c>
      <c r="F20" s="16">
        <f>'R0030_LFP_Averages'!F20*('R0030_LFP_Liberation'!$C$6/100)</f>
        <v>2.2734214042166256E-2</v>
      </c>
      <c r="G20" s="16">
        <f>'R0030_LFP_Averages'!G20*('R0030_LFP_Liberation'!$C$6/100)</f>
        <v>5.8083993016550201E-3</v>
      </c>
      <c r="H20" s="16">
        <f>'R0030_LFP_Averages'!H20*('R0030_LFP_Liberation'!$C$5/100)</f>
        <v>0.13009943941470256</v>
      </c>
      <c r="I20" s="16">
        <f>'R0030_LFP_Averages'!I20*('R0030_LFP_Liberation'!$C$5/100)</f>
        <v>0.12455730676062064</v>
      </c>
      <c r="J20" s="16">
        <f>'R0030_LFP_Averages'!J20*('R0030_LFP_Liberation'!$C$4/100)</f>
        <v>0.49371270393786992</v>
      </c>
      <c r="K20" s="16">
        <f>'R0030_LFP_Averages'!K20*('R0030_LFP_Liberation'!$C$4/100)</f>
        <v>0.3166352244620943</v>
      </c>
      <c r="L20" s="16">
        <f>'R0030_LFP_Averages'!L20*('R0030_LFP_Liberation'!$C$3/100)</f>
        <v>2.5179521367226365</v>
      </c>
      <c r="M20" s="16">
        <f>'R0030_LFP_Averages'!M20*('R0030_LFP_Liberation'!$C$3/100)</f>
        <v>0.7884378816621167</v>
      </c>
      <c r="O20" s="16">
        <f t="shared" si="4"/>
        <v>3.1780499801107549</v>
      </c>
      <c r="R20" s="16">
        <f t="shared" si="5"/>
        <v>0.85875706595463075</v>
      </c>
    </row>
    <row r="21" spans="1:23" x14ac:dyDescent="0.25">
      <c r="A21" s="2" t="s">
        <v>15</v>
      </c>
      <c r="B21" s="16">
        <f>'R0030_LFP_Averages'!B21*('R0030_LFP_Liberation'!$C$8/100)</f>
        <v>2.9740603119003131E-2</v>
      </c>
      <c r="C21" s="16">
        <f>('R0030_LFP_Averages'!C21)*('R0030_LFP_Liberation'!$C$8/100)</f>
        <v>6.9539934626818081E-3</v>
      </c>
      <c r="D21" s="16">
        <f>'R0030_LFP_Averages'!D21*('R0030_LFP_Liberation'!$C$7/100)</f>
        <v>9.4470951108537565E-2</v>
      </c>
      <c r="E21" s="16">
        <f>'R0030_LFP_Averages'!E21*('R0030_LFP_Liberation'!$C$7/100)</f>
        <v>1.2602094462731743E-2</v>
      </c>
      <c r="F21" s="16">
        <f>'R0030_LFP_Averages'!F21*('R0030_LFP_Liberation'!$C$6/100)</f>
        <v>0.23698913938163615</v>
      </c>
      <c r="G21" s="16">
        <f>'R0030_LFP_Averages'!G21*('R0030_LFP_Liberation'!$C$6/100)</f>
        <v>3.2378506298053611E-2</v>
      </c>
      <c r="H21" s="16">
        <f>'R0030_LFP_Averages'!H21*('R0030_LFP_Liberation'!$C$5/100)</f>
        <v>0.70758813194995718</v>
      </c>
      <c r="I21" s="16">
        <f>'R0030_LFP_Averages'!I21*('R0030_LFP_Liberation'!$C$5/100)</f>
        <v>0.15380315247486351</v>
      </c>
      <c r="J21" s="16">
        <f>'R0030_LFP_Averages'!J21*('R0030_LFP_Liberation'!$C$4/100)</f>
        <v>1.3551236267106204</v>
      </c>
      <c r="K21" s="16">
        <f>'R0030_LFP_Averages'!K21*('R0030_LFP_Liberation'!$C$4/100)</f>
        <v>0.28725809269974895</v>
      </c>
      <c r="L21" s="16">
        <f>'R0030_LFP_Averages'!L21*('R0030_LFP_Liberation'!$C$3/100)</f>
        <v>2.2573489734105396</v>
      </c>
      <c r="M21" s="16">
        <f>'R0030_LFP_Averages'!M21*('R0030_LFP_Liberation'!$C$3/100)</f>
        <v>0.76880622324206371</v>
      </c>
      <c r="O21" s="16">
        <f t="shared" si="4"/>
        <v>4.6812614256802938</v>
      </c>
      <c r="R21" s="16">
        <f t="shared" si="5"/>
        <v>0.8357578410690798</v>
      </c>
    </row>
    <row r="22" spans="1:23" x14ac:dyDescent="0.25">
      <c r="A22" s="2" t="s">
        <v>16</v>
      </c>
      <c r="B22" s="16">
        <f>'R0030_LFP_Averages'!B22*('R0030_LFP_Liberation'!$C$8/100)</f>
        <v>4.573732225404404E-3</v>
      </c>
      <c r="C22" s="16">
        <f>('R0030_LFP_Averages'!C22)*('R0030_LFP_Liberation'!$C$8/100)</f>
        <v>1.3265749563170482E-3</v>
      </c>
      <c r="D22" s="16">
        <f>'R0030_LFP_Averages'!D22*('R0030_LFP_Liberation'!$C$7/100)</f>
        <v>5.961118398267122E-3</v>
      </c>
      <c r="E22" s="16">
        <f>'R0030_LFP_Averages'!E22*('R0030_LFP_Liberation'!$C$7/100)</f>
        <v>1.9964304465519517E-3</v>
      </c>
      <c r="F22" s="16">
        <f>'R0030_LFP_Averages'!F22*('R0030_LFP_Liberation'!$C$6/100)</f>
        <v>2.6428296280119303E-2</v>
      </c>
      <c r="G22" s="16">
        <f>'R0030_LFP_Averages'!G22*('R0030_LFP_Liberation'!$C$6/100)</f>
        <v>1.6534293125631479E-2</v>
      </c>
      <c r="H22" s="16">
        <f>'R0030_LFP_Averages'!H22*('R0030_LFP_Liberation'!$C$5/100)</f>
        <v>6.6466280364263622E-2</v>
      </c>
      <c r="I22" s="16">
        <f>'R0030_LFP_Averages'!I22*('R0030_LFP_Liberation'!$C$5/100)</f>
        <v>4.362507912276381E-2</v>
      </c>
      <c r="J22" s="16">
        <f>'R0030_LFP_Averages'!J22*('R0030_LFP_Liberation'!$C$4/100)</f>
        <v>7.7217881519052747E-2</v>
      </c>
      <c r="K22" s="16">
        <f>'R0030_LFP_Averages'!K22*('R0030_LFP_Liberation'!$C$4/100)</f>
        <v>2.0882336602212084E-2</v>
      </c>
      <c r="L22" s="16">
        <f>'R0030_LFP_Averages'!L22*('R0030_LFP_Liberation'!$C$3/100)</f>
        <v>0.45703767491520142</v>
      </c>
      <c r="M22" s="16">
        <f>'R0030_LFP_Averages'!M22*('R0030_LFP_Liberation'!$C$3/100)</f>
        <v>0.39426580378368659</v>
      </c>
      <c r="O22" s="16">
        <f t="shared" si="4"/>
        <v>0.63768498370230864</v>
      </c>
      <c r="R22" s="16">
        <f t="shared" si="5"/>
        <v>0.39757247380627203</v>
      </c>
    </row>
    <row r="23" spans="1:23" ht="15.75" thickBot="1" x14ac:dyDescent="0.3"/>
    <row r="24" spans="1:23" ht="15.75" thickBot="1" x14ac:dyDescent="0.3">
      <c r="B24" s="16"/>
      <c r="N24" t="s">
        <v>56</v>
      </c>
      <c r="O24" s="33">
        <f>O5+O6+O8+O9+O12+O13+O15+O16+O18+O19+O21+O22</f>
        <v>85.821058889536843</v>
      </c>
    </row>
    <row r="25" spans="1:23" x14ac:dyDescent="0.25">
      <c r="B25" t="s">
        <v>57</v>
      </c>
      <c r="C25" t="s">
        <v>37</v>
      </c>
      <c r="D25" t="s">
        <v>58</v>
      </c>
      <c r="E25" s="16" t="s">
        <v>59</v>
      </c>
      <c r="F25" t="s">
        <v>60</v>
      </c>
      <c r="G25" t="s">
        <v>61</v>
      </c>
      <c r="I25" t="s">
        <v>62</v>
      </c>
      <c r="J25" t="s">
        <v>63</v>
      </c>
      <c r="K25" t="s">
        <v>64</v>
      </c>
      <c r="L25" t="s">
        <v>63</v>
      </c>
      <c r="S25" t="s">
        <v>65</v>
      </c>
      <c r="T25" t="s">
        <v>66</v>
      </c>
      <c r="U25" t="s">
        <v>67</v>
      </c>
      <c r="V25" s="44" t="s">
        <v>68</v>
      </c>
    </row>
    <row r="26" spans="1:23" x14ac:dyDescent="0.25">
      <c r="A26" s="2" t="str">
        <f>'R0030_LFP_Liberation'!A18</f>
        <v>Cathode</v>
      </c>
      <c r="B26">
        <f>'R0030_LFP_Liberation'!D18</f>
        <v>0.4141621362874825</v>
      </c>
      <c r="C26">
        <f>B26*100</f>
        <v>41.416213628748253</v>
      </c>
      <c r="D26">
        <f>'R0030_LFP_Liberation'!F18*100</f>
        <v>0.31727983618837174</v>
      </c>
      <c r="E26">
        <f>C26</f>
        <v>41.416213628748253</v>
      </c>
      <c r="F26">
        <f>O5+O12+O18</f>
        <v>41.109820942871067</v>
      </c>
      <c r="G26">
        <f>SQRT(SUMSQ(C5,E5,G5,I5,K5,M5,C12,E12,G12,I12,K12,M12,C18,E18,G18,I18,K18,M18))</f>
        <v>1.0841234442290351</v>
      </c>
      <c r="I26">
        <f>E26-F26</f>
        <v>0.30639268587718504</v>
      </c>
      <c r="J26">
        <f>SQRT(SUMSQ(D26,G26))</f>
        <v>1.1295973339109586</v>
      </c>
      <c r="K26" s="57">
        <f>(E26/$E$34)*100-F26</f>
        <v>8.9521727750988447</v>
      </c>
      <c r="L26" s="57">
        <f>SQRT(((SQRT((100*D26/E26)^2+(100*$E$35/$E$34)^2)*0.01*(E26/$E$34))*100)^2+G26^2)</f>
        <v>1.1751548144635928</v>
      </c>
      <c r="N26" t="s">
        <v>69</v>
      </c>
      <c r="O26">
        <f>O7+O14+O20</f>
        <v>5.184771400097925</v>
      </c>
      <c r="T26">
        <f>SQRT((100*D26/E26)^2+(100*$E$35/$E$34)^2)*0.01*(E26/$E$34)</f>
        <v>4.5350324765092457E-3</v>
      </c>
      <c r="U26">
        <f>T26*100</f>
        <v>0.45350324765092459</v>
      </c>
      <c r="V26">
        <f>SQRT(U26^2+G26^2)</f>
        <v>1.1751548144635928</v>
      </c>
      <c r="W26" t="str">
        <f>IF(V26=L26,"Equal","Not Equal")</f>
        <v>Equal</v>
      </c>
    </row>
    <row r="27" spans="1:23" x14ac:dyDescent="0.25">
      <c r="A27" s="2" t="str">
        <f>'R0030_LFP_Liberation'!A19</f>
        <v>Anode</v>
      </c>
      <c r="B27">
        <f>'R0030_LFP_Liberation'!D19</f>
        <v>0.32632406742571884</v>
      </c>
      <c r="C27">
        <f t="shared" ref="C27:C31" si="6">B27*100</f>
        <v>32.632406742571888</v>
      </c>
      <c r="D27">
        <f>'R0030_LFP_Liberation'!F19*100</f>
        <v>0.15857566904666354</v>
      </c>
      <c r="E27">
        <f>C27</f>
        <v>32.632406742571888</v>
      </c>
      <c r="F27">
        <f>O6+O13+O19</f>
        <v>34.72993533575999</v>
      </c>
      <c r="G27">
        <f>SQRT(SUMSQ(C6,E6,G6,I6,K6,M6,C13,E13,G13,I13,K13,M13,C19,E19,G19,I19,K19,M19))</f>
        <v>2.0582892890098683</v>
      </c>
      <c r="I27">
        <f>E27-F27</f>
        <v>-2.0975285931881018</v>
      </c>
      <c r="J27">
        <f>SQRT(SUMSQ(D27,G27))</f>
        <v>2.0643887812295305</v>
      </c>
      <c r="K27" s="57">
        <f>(E27/$E$34)*100-F27</f>
        <v>4.7146009512295919</v>
      </c>
      <c r="L27" s="57">
        <f t="shared" ref="L27:L29" si="7">SQRT(((SQRT((100*D27/E27)^2+(100*$E$35/$E$34)^2)*0.01*(E27/$E$34))*100)^2+G27^2)</f>
        <v>2.0759731045310943</v>
      </c>
      <c r="N27" t="s">
        <v>70</v>
      </c>
      <c r="O27" s="16">
        <f>'R0030_LFP_Liberation'!$C$2</f>
        <v>4.2196680721153994</v>
      </c>
      <c r="P27" s="16"/>
      <c r="T27">
        <f t="shared" ref="T27:T29" si="8">SQRT((100*D27/E27)^2+(100*$E$35/$E$34)^2)*0.01*(E27/$E$34)</f>
        <v>2.703877465487667E-3</v>
      </c>
      <c r="U27">
        <f t="shared" ref="U27:U29" si="9">T27*100</f>
        <v>0.27038774654876668</v>
      </c>
      <c r="V27">
        <f t="shared" ref="V27:V29" si="10">SQRT(U27^2+G27^2)</f>
        <v>2.0759731045310943</v>
      </c>
      <c r="W27" t="str">
        <f>IF(V27=L27,"Equal","Not Equal")</f>
        <v>Equal</v>
      </c>
    </row>
    <row r="28" spans="1:23" ht="15.75" thickBot="1" x14ac:dyDescent="0.3">
      <c r="A28" s="2" t="str">
        <f>'R0030_LFP_Liberation'!A20</f>
        <v>Pouch</v>
      </c>
      <c r="B28">
        <f>'R0030_LFP_Liberation'!D20</f>
        <v>4.8073306663931344E-2</v>
      </c>
      <c r="C28">
        <f t="shared" si="6"/>
        <v>4.8073306663931348</v>
      </c>
      <c r="D28">
        <f>'R0030_LFP_Liberation'!F20*100</f>
        <v>1.360987070955175E-2</v>
      </c>
      <c r="E28">
        <f>C28</f>
        <v>4.8073306663931348</v>
      </c>
      <c r="F28">
        <f>O8+O15+O21</f>
        <v>6.4653374220971429</v>
      </c>
      <c r="G28">
        <f>SQRT(SUMSQ(C8,E8,G8,I8,K8,M8,C15,E15,G15,I15,K15,M15,C21,E21,G21,I21,K21,M21))</f>
        <v>1.1727499928804535</v>
      </c>
      <c r="I28">
        <f>E28-F28</f>
        <v>-1.6580067557040081</v>
      </c>
      <c r="J28">
        <f>SQRT(SUMSQ(D28,G28))</f>
        <v>1.1728289621175947</v>
      </c>
      <c r="K28" s="40">
        <f>(E28/$E$34)*100-F28</f>
        <v>-0.65445959105069029</v>
      </c>
      <c r="L28" s="40">
        <f t="shared" si="7"/>
        <v>1.1732018040335339</v>
      </c>
      <c r="N28" t="s">
        <v>71</v>
      </c>
      <c r="O28" s="16">
        <f>SUM('R0030_LFP_Liberation'!$C$9,'R0030_LFP_Liberation'!$C$10,'R0030_LFP_Liberation'!$C$11)</f>
        <v>4.7745016382498111</v>
      </c>
      <c r="T28">
        <f t="shared" si="8"/>
        <v>3.2556522947555189E-4</v>
      </c>
      <c r="U28">
        <f t="shared" si="9"/>
        <v>3.2556522947555191E-2</v>
      </c>
      <c r="V28">
        <f t="shared" si="10"/>
        <v>1.1732018040335339</v>
      </c>
      <c r="W28" t="str">
        <f>IF(V28=L28,"Equal","Not Equal")</f>
        <v>Equal</v>
      </c>
    </row>
    <row r="29" spans="1:23" ht="15.75" thickBot="1" x14ac:dyDescent="0.3">
      <c r="A29" s="2" t="str">
        <f>'R0030_LFP_Liberation'!A21</f>
        <v>Separator</v>
      </c>
      <c r="B29">
        <f>'R0030_LFP_Liberation'!D21</f>
        <v>3.873901596744965E-2</v>
      </c>
      <c r="C29">
        <f t="shared" si="6"/>
        <v>3.873901596744965</v>
      </c>
      <c r="D29">
        <f>'R0030_LFP_Liberation'!F21*100</f>
        <v>0.18435543609778107</v>
      </c>
      <c r="E29">
        <f>C29</f>
        <v>3.873901596744965</v>
      </c>
      <c r="F29">
        <f>O9+O16+O22</f>
        <v>3.5159651888086523</v>
      </c>
      <c r="G29">
        <f>SQRT(SUMSQ(C9,E9,G9,I9,K9,M9,C16,E16,G16,I16,K16,M16,C22,E22,G22,I22,K22,M22))</f>
        <v>0.45354443436369474</v>
      </c>
      <c r="I29">
        <f>E29-F29</f>
        <v>0.35793640793631276</v>
      </c>
      <c r="J29">
        <f>SQRT(SUMSQ(D29,G29))</f>
        <v>0.4895809236082293</v>
      </c>
      <c r="K29" s="40">
        <f>(E29/$E$34)*100-F29</f>
        <v>1.166626975185395</v>
      </c>
      <c r="L29" s="40">
        <f t="shared" si="7"/>
        <v>0.50583879255268027</v>
      </c>
      <c r="N29" t="s">
        <v>72</v>
      </c>
      <c r="O29" s="37">
        <f>SUM(O26:O28)</f>
        <v>14.178941110463136</v>
      </c>
      <c r="P29" s="16"/>
      <c r="T29">
        <f t="shared" si="8"/>
        <v>2.2398734363546025E-3</v>
      </c>
      <c r="U29">
        <f t="shared" si="9"/>
        <v>0.22398734363546025</v>
      </c>
      <c r="V29">
        <f t="shared" si="10"/>
        <v>0.50583879255268027</v>
      </c>
      <c r="W29" t="str">
        <f>IF(V29=L29,"Equal","Not Equal")</f>
        <v>Equal</v>
      </c>
    </row>
    <row r="30" spans="1:23" x14ac:dyDescent="0.25">
      <c r="A30" s="2" t="str">
        <f>'R0030_LFP_Liberation'!A22</f>
        <v>Electrolyte</v>
      </c>
      <c r="B30">
        <f>'R0030_LFP_Liberation'!D22</f>
        <v>0.17270147365541763</v>
      </c>
      <c r="C30">
        <f t="shared" si="6"/>
        <v>17.270147365541764</v>
      </c>
      <c r="D30">
        <f>'R0030_LFP_Liberation'!F22*100</f>
        <v>0.68723977625045918</v>
      </c>
    </row>
    <row r="31" spans="1:23" x14ac:dyDescent="0.25">
      <c r="A31" s="2" t="str">
        <f>'R0030_LFP_Liberation'!A23</f>
        <v>Whole</v>
      </c>
      <c r="B31">
        <f>'R0030_LFP_Liberation'!D23</f>
        <v>1</v>
      </c>
      <c r="C31">
        <f t="shared" si="6"/>
        <v>100</v>
      </c>
      <c r="D31">
        <f>'R0030_LFP_Liberation'!F23*100</f>
        <v>9.6587321036865112E-2</v>
      </c>
    </row>
    <row r="33" spans="1:15" ht="15.75" thickBot="1" x14ac:dyDescent="0.3">
      <c r="I33" s="30"/>
    </row>
    <row r="34" spans="1:15" ht="15.75" thickBot="1" x14ac:dyDescent="0.3">
      <c r="A34" s="2" t="s">
        <v>35</v>
      </c>
      <c r="E34" s="32">
        <f>SUM(E26:E29)</f>
        <v>82.729852634458254</v>
      </c>
      <c r="F34" s="35">
        <f>SUM(F26:F29)</f>
        <v>85.821058889536857</v>
      </c>
      <c r="I34" s="36">
        <f>SUM(I26:I29)</f>
        <v>-3.0912062550786121</v>
      </c>
      <c r="K34" s="39">
        <f>SUM(K26:K29)</f>
        <v>14.178941110463141</v>
      </c>
      <c r="N34" t="s">
        <v>73</v>
      </c>
      <c r="O34" s="31">
        <f>O29+O24</f>
        <v>99.999999999999972</v>
      </c>
    </row>
    <row r="35" spans="1:15" x14ac:dyDescent="0.25">
      <c r="A35" s="2" t="s">
        <v>63</v>
      </c>
      <c r="E35">
        <f>SQRT(SUMSQ(D26:D29))</f>
        <v>0.39998111538527759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F33F-D811-4D3E-A812-0F6546E20E22}">
  <sheetPr codeName="Sheet8">
    <tabColor rgb="FFFF0000"/>
  </sheetPr>
  <dimension ref="A1:W93"/>
  <sheetViews>
    <sheetView tabSelected="1" topLeftCell="A52" workbookViewId="0">
      <selection activeCell="H57" sqref="H57"/>
    </sheetView>
  </sheetViews>
  <sheetFormatPr defaultRowHeight="15" x14ac:dyDescent="0.25"/>
  <cols>
    <col min="1" max="1" width="8.85546875" style="2" customWidth="1"/>
    <col min="2" max="13" width="8.85546875" customWidth="1"/>
  </cols>
  <sheetData>
    <row r="1" spans="1:16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  <c r="O1" s="98" t="s">
        <v>74</v>
      </c>
      <c r="P1" s="98"/>
    </row>
    <row r="2" spans="1:16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s="16" t="s">
        <v>52</v>
      </c>
      <c r="P2" t="s">
        <v>27</v>
      </c>
    </row>
    <row r="3" spans="1:16" s="9" customFormat="1" x14ac:dyDescent="0.25">
      <c r="A3" s="13" t="s">
        <v>19</v>
      </c>
      <c r="B3" s="21">
        <f>('R0030_LFP_Averages'!B3)*('R0030_LFP_Liberation'!$H$8/100)</f>
        <v>2.7805543124659562</v>
      </c>
      <c r="C3" s="21">
        <f>('R0030_LFP_Averages'!C3)*('R0030_LFP_Liberation'!$H$8/100)</f>
        <v>0</v>
      </c>
      <c r="D3" s="21">
        <f>'R0030_LFP_Averages'!D3*('R0030_LFP_Liberation'!$H$7/100)</f>
        <v>3.4253710442819405</v>
      </c>
      <c r="E3" s="21">
        <f>'R0030_LFP_Averages'!E3*('R0030_LFP_Liberation'!$H$7/100)</f>
        <v>0</v>
      </c>
      <c r="F3" s="21">
        <f>'R0030_LFP_Averages'!F3*('R0030_LFP_Liberation'!$H$6/100)</f>
        <v>7.0442541368749767</v>
      </c>
      <c r="G3" s="21">
        <f>'R0030_LFP_Averages'!G3*('R0030_LFP_Liberation'!$H$6/100)</f>
        <v>0</v>
      </c>
      <c r="H3" s="21">
        <f>'R0030_LFP_Averages'!H3*('R0030_LFP_Liberation'!$H$5/100)</f>
        <v>11.278729419176745</v>
      </c>
      <c r="I3" s="21">
        <f>'R0030_LFP_Averages'!I3*('R0030_LFP_Liberation'!$H$5/100)</f>
        <v>0</v>
      </c>
      <c r="J3" s="21">
        <f>'R0030_LFP_Averages'!J3*('R0030_LFP_Liberation'!$H$4/100)</f>
        <v>22.998709206913222</v>
      </c>
      <c r="K3" s="21">
        <f>'R0030_LFP_Averages'!K3*('R0030_LFP_Liberation'!$H$4/100)</f>
        <v>0</v>
      </c>
      <c r="L3" s="21">
        <f>'R0030_LFP_Averages'!L3*('R0030_LFP_Liberation'!$H$3/100)</f>
        <v>27.761371167667171</v>
      </c>
      <c r="M3" s="21">
        <f>'R0030_LFP_Averages'!M3*('R0030_LFP_Liberation'!$H$3/100)</f>
        <v>0</v>
      </c>
      <c r="O3" s="21">
        <f>SUM(B3,D3,F3,H3,J3,L3)</f>
        <v>75.288989287380019</v>
      </c>
      <c r="P3" s="21">
        <f t="shared" ref="O3:P16" si="0">SUM(C3,E3,G3,I3,K3,M3)</f>
        <v>0</v>
      </c>
    </row>
    <row r="4" spans="1:16" s="24" customFormat="1" x14ac:dyDescent="0.25">
      <c r="A4" s="22" t="s">
        <v>12</v>
      </c>
      <c r="B4" s="23">
        <f>'R0030_LFP_Averages'!B4*('R0030_LFP_Liberation'!$H$8/100)</f>
        <v>8.0784796891151173E-2</v>
      </c>
      <c r="C4" s="23">
        <f>('R0030_LFP_Averages'!C4)*('R0030_LFP_Liberation'!$H$8/100)</f>
        <v>1.2287147463645443E-2</v>
      </c>
      <c r="D4" s="23">
        <f>'R0030_LFP_Averages'!D4*('R0030_LFP_Liberation'!$H$7/100)</f>
        <v>9.1132265146471395E-2</v>
      </c>
      <c r="E4" s="23">
        <f>'R0030_LFP_Averages'!E4*('R0030_LFP_Liberation'!$H$7/100)</f>
        <v>1.2565422694684495E-2</v>
      </c>
      <c r="F4" s="23">
        <f>'R0030_LFP_Averages'!F4*('R0030_LFP_Liberation'!$H$6/100)</f>
        <v>0.18904788249007787</v>
      </c>
      <c r="G4" s="23">
        <f>'R0030_LFP_Averages'!G4*('R0030_LFP_Liberation'!$H$6/100)</f>
        <v>3.4259549735144453E-2</v>
      </c>
      <c r="H4" s="23">
        <f>'R0030_LFP_Averages'!H4*('R0030_LFP_Liberation'!$H$5/100)</f>
        <v>0.45010826627636036</v>
      </c>
      <c r="I4" s="23">
        <f>'R0030_LFP_Averages'!I4*('R0030_LFP_Liberation'!$H$5/100)</f>
        <v>5.6785249125053575E-2</v>
      </c>
      <c r="J4" s="23">
        <f>'R0030_LFP_Averages'!J4*('R0030_LFP_Liberation'!$H$4/100)</f>
        <v>1.0470890729529867</v>
      </c>
      <c r="K4" s="23">
        <f>'R0030_LFP_Averages'!K4*('R0030_LFP_Liberation'!$H$4/100)</f>
        <v>0.37840181616792751</v>
      </c>
      <c r="L4" s="23">
        <f>'R0030_LFP_Averages'!L4*('R0030_LFP_Liberation'!$H$3/100)</f>
        <v>1.1169345531069295</v>
      </c>
      <c r="M4" s="23">
        <f>'R0030_LFP_Averages'!M4*('R0030_LFP_Liberation'!$H$3/100)</f>
        <v>0.13619284774068813</v>
      </c>
      <c r="O4" s="23">
        <f>SUM(B4,D4,F4,H4,J4,L4)</f>
        <v>2.975096836863977</v>
      </c>
      <c r="P4" s="23">
        <f t="shared" si="0"/>
        <v>0.63049203292714351</v>
      </c>
    </row>
    <row r="5" spans="1:16" x14ac:dyDescent="0.25">
      <c r="A5" s="2" t="s">
        <v>8</v>
      </c>
      <c r="B5" s="16">
        <f>'R0030_LFP_Averages'!B5*('R0030_LFP_Liberation'!$H$8/100)</f>
        <v>3.5844249354163291E-3</v>
      </c>
      <c r="C5" s="16">
        <f>('R0030_LFP_Averages'!C5)*('R0030_LFP_Liberation'!$H$8/100)</f>
        <v>3.6746849352224413E-3</v>
      </c>
      <c r="D5" s="16">
        <f>'R0030_LFP_Averages'!D5*('R0030_LFP_Liberation'!$H$7/100)</f>
        <v>4.0629473762575771E-3</v>
      </c>
      <c r="E5" s="16">
        <f>'R0030_LFP_Averages'!E5*('R0030_LFP_Liberation'!$H$7/100)</f>
        <v>1.293851307742551E-3</v>
      </c>
      <c r="F5" s="16">
        <f>'R0030_LFP_Averages'!F5*('R0030_LFP_Liberation'!$H$6/100)</f>
        <v>2.1096370136935482E-3</v>
      </c>
      <c r="G5" s="16">
        <f>'R0030_LFP_Averages'!G5*('R0030_LFP_Liberation'!$H$6/100)</f>
        <v>2.1097825582805695E-3</v>
      </c>
      <c r="H5" s="16">
        <f>'R0030_LFP_Averages'!H5*('R0030_LFP_Liberation'!$H$5/100)</f>
        <v>1.7727247275257638E-2</v>
      </c>
      <c r="I5" s="16">
        <f>'R0030_LFP_Averages'!I5*('R0030_LFP_Liberation'!$H$5/100)</f>
        <v>1.3116050031389128E-2</v>
      </c>
      <c r="J5" s="16">
        <f>'R0030_LFP_Averages'!J5*('R0030_LFP_Liberation'!$H$4/100)</f>
        <v>6.2544101317196024E-2</v>
      </c>
      <c r="K5" s="16">
        <f>'R0030_LFP_Averages'!K5*('R0030_LFP_Liberation'!$H$4/100)</f>
        <v>0.10832956119511905</v>
      </c>
      <c r="L5" s="16">
        <f>'R0030_LFP_Averages'!L5*('R0030_LFP_Liberation'!$H$3/100)</f>
        <v>0</v>
      </c>
      <c r="M5" s="16">
        <f>'R0030_LFP_Averages'!M5*('R0030_LFP_Liberation'!$H$3/100)</f>
        <v>0</v>
      </c>
      <c r="O5" s="16">
        <f>SUM(B5,D5,F5,H5,J5,L5)</f>
        <v>9.0028357917821114E-2</v>
      </c>
      <c r="P5" s="16">
        <f t="shared" si="0"/>
        <v>0.12852393002775375</v>
      </c>
    </row>
    <row r="6" spans="1:16" x14ac:dyDescent="0.25">
      <c r="A6" s="2" t="s">
        <v>6</v>
      </c>
      <c r="B6" s="16">
        <f>'R0030_LFP_Averages'!B6*('R0030_LFP_Liberation'!$H$8/100)</f>
        <v>6.6060800231970782E-3</v>
      </c>
      <c r="C6" s="16">
        <f>('R0030_LFP_Averages'!C6)*('R0030_LFP_Liberation'!$H$8/100)</f>
        <v>8.5445228697428387E-4</v>
      </c>
      <c r="D6" s="16">
        <f>'R0030_LFP_Averages'!D6*('R0030_LFP_Liberation'!$H$7/100)</f>
        <v>3.7402872189522519E-3</v>
      </c>
      <c r="E6" s="16">
        <f>'R0030_LFP_Averages'!E6*('R0030_LFP_Liberation'!$H$7/100)</f>
        <v>3.0176777335251307E-3</v>
      </c>
      <c r="F6" s="16">
        <f>'R0030_LFP_Averages'!F6*('R0030_LFP_Liberation'!$H$6/100)</f>
        <v>5.1029283954843229E-3</v>
      </c>
      <c r="G6" s="16">
        <f>'R0030_LFP_Averages'!G6*('R0030_LFP_Liberation'!$H$6/100)</f>
        <v>3.2771161545511263E-3</v>
      </c>
      <c r="H6" s="16">
        <f>'R0030_LFP_Averages'!H6*('R0030_LFP_Liberation'!$H$5/100)</f>
        <v>2.8633952561363682E-2</v>
      </c>
      <c r="I6" s="16">
        <f>'R0030_LFP_Averages'!I6*('R0030_LFP_Liberation'!$H$5/100)</f>
        <v>3.0605013517533697E-2</v>
      </c>
      <c r="J6" s="16">
        <f>'R0030_LFP_Averages'!J6*('R0030_LFP_Liberation'!$H$4/100)</f>
        <v>2.3844906382892599E-2</v>
      </c>
      <c r="K6" s="16">
        <f>'R0030_LFP_Averages'!K6*('R0030_LFP_Liberation'!$H$4/100)</f>
        <v>4.1300589356893402E-2</v>
      </c>
      <c r="L6" s="16">
        <f>'R0030_LFP_Averages'!L6*('R0030_LFP_Liberation'!$H$3/100)</f>
        <v>5.5818902514799484E-2</v>
      </c>
      <c r="M6" s="16">
        <f>'R0030_LFP_Averages'!M6*('R0030_LFP_Liberation'!$H$3/100)</f>
        <v>5.58780639820987E-2</v>
      </c>
      <c r="O6" s="16">
        <f>SUM(B6,D6,F6,H6,J6,L6)</f>
        <v>0.12374705709668943</v>
      </c>
      <c r="P6" s="16">
        <f t="shared" si="0"/>
        <v>0.13493291303157634</v>
      </c>
    </row>
    <row r="7" spans="1:16" x14ac:dyDescent="0.25">
      <c r="A7" s="2" t="s">
        <v>14</v>
      </c>
      <c r="B7" s="16">
        <f>'R0030_LFP_Averages'!B7*('R0030_LFP_Liberation'!$H$8/100)</f>
        <v>1.6205439917355921E-4</v>
      </c>
      <c r="C7" s="16">
        <f>('R0030_LFP_Averages'!C7)*('R0030_LFP_Liberation'!$H$8/100)</f>
        <v>2.806864529586524E-4</v>
      </c>
      <c r="D7" s="16">
        <f>'R0030_LFP_Averages'!D7*('R0030_LFP_Liberation'!$H$7/100)</f>
        <v>1.9721916434314453E-4</v>
      </c>
      <c r="E7" s="16">
        <f>'R0030_LFP_Averages'!E7*('R0030_LFP_Liberation'!$H$7/100)</f>
        <v>3.4159361286860266E-4</v>
      </c>
      <c r="F7" s="16">
        <f>'R0030_LFP_Averages'!F7*('R0030_LFP_Liberation'!$H$6/100)</f>
        <v>0</v>
      </c>
      <c r="G7" s="16">
        <f>'R0030_LFP_Averages'!G7*('R0030_LFP_Liberation'!$H$6/100)</f>
        <v>0</v>
      </c>
      <c r="H7" s="16">
        <f>'R0030_LFP_Averages'!H7*('R0030_LFP_Liberation'!$H$5/100)</f>
        <v>1.0432342666560103E-3</v>
      </c>
      <c r="I7" s="16">
        <f>'R0030_LFP_Averages'!I7*('R0030_LFP_Liberation'!$H$5/100)</f>
        <v>1.806934754045068E-3</v>
      </c>
      <c r="J7" s="16">
        <f>'R0030_LFP_Averages'!J7*('R0030_LFP_Liberation'!$H$4/100)</f>
        <v>6.2387410620658466E-2</v>
      </c>
      <c r="K7" s="16">
        <f>'R0030_LFP_Averages'!K7*('R0030_LFP_Liberation'!$H$4/100)</f>
        <v>6.3525822115832936E-2</v>
      </c>
      <c r="L7" s="16">
        <f>'R0030_LFP_Averages'!L7*('R0030_LFP_Liberation'!$H$3/100)</f>
        <v>0</v>
      </c>
      <c r="M7" s="16">
        <f>'R0030_LFP_Averages'!M7*('R0030_LFP_Liberation'!$H$3/100)</f>
        <v>0</v>
      </c>
      <c r="O7" s="16">
        <f>SUM(B7,D7,F7,H7,J7,L7)</f>
        <v>6.3789918450831179E-2</v>
      </c>
      <c r="P7" s="16">
        <f t="shared" si="0"/>
        <v>6.5955036935705258E-2</v>
      </c>
    </row>
    <row r="8" spans="1:16" x14ac:dyDescent="0.25">
      <c r="A8" s="2" t="s">
        <v>15</v>
      </c>
      <c r="B8" s="16">
        <f>'R0030_LFP_Averages'!B8*('R0030_LFP_Liberation'!$H$8/100)</f>
        <v>1.373414271586868E-2</v>
      </c>
      <c r="C8" s="16">
        <f>('R0030_LFP_Averages'!C8)*('R0030_LFP_Liberation'!$H$8/100)</f>
        <v>2.6704195586596978E-3</v>
      </c>
      <c r="D8" s="16">
        <f>'R0030_LFP_Averages'!D8*('R0030_LFP_Liberation'!$H$7/100)</f>
        <v>1.0294172615731435E-2</v>
      </c>
      <c r="E8" s="16">
        <f>'R0030_LFP_Averages'!E8*('R0030_LFP_Liberation'!$H$7/100)</f>
        <v>3.6225257715742309E-3</v>
      </c>
      <c r="F8" s="16">
        <f>'R0030_LFP_Averages'!F8*('R0030_LFP_Liberation'!$H$6/100)</f>
        <v>1.5441084720116783E-2</v>
      </c>
      <c r="G8" s="16">
        <f>'R0030_LFP_Averages'!G8*('R0030_LFP_Liberation'!$H$6/100)</f>
        <v>1.1080217756309413E-2</v>
      </c>
      <c r="H8" s="16">
        <f>'R0030_LFP_Averages'!H8*('R0030_LFP_Liberation'!$H$5/100)</f>
        <v>1.8207089660620245E-2</v>
      </c>
      <c r="I8" s="16">
        <f>'R0030_LFP_Averages'!I8*('R0030_LFP_Liberation'!$H$5/100)</f>
        <v>1.585660949438461E-2</v>
      </c>
      <c r="J8" s="16">
        <f>'R0030_LFP_Averages'!J8*('R0030_LFP_Liberation'!$H$4/100)</f>
        <v>0.22271149676336652</v>
      </c>
      <c r="K8" s="16">
        <f>'R0030_LFP_Averages'!K8*('R0030_LFP_Liberation'!$H$4/100)</f>
        <v>0.28931194224339013</v>
      </c>
      <c r="L8" s="16">
        <f>'R0030_LFP_Averages'!L8*('R0030_LFP_Liberation'!$H$3/100)</f>
        <v>6.3792351881335599E-2</v>
      </c>
      <c r="M8" s="16">
        <f>'R0030_LFP_Averages'!M8*('R0030_LFP_Liberation'!$H$3/100)</f>
        <v>6.6560542543131346E-2</v>
      </c>
      <c r="O8" s="16">
        <f t="shared" si="0"/>
        <v>0.34418033835703926</v>
      </c>
      <c r="P8" s="16">
        <f t="shared" si="0"/>
        <v>0.38910225736744941</v>
      </c>
    </row>
    <row r="9" spans="1:16" x14ac:dyDescent="0.25">
      <c r="A9" s="2" t="s">
        <v>16</v>
      </c>
      <c r="B9" s="16">
        <f>'R0030_LFP_Averages'!B9*('R0030_LFP_Liberation'!$H$8/100)</f>
        <v>5.6698094817495513E-2</v>
      </c>
      <c r="C9" s="16">
        <f>('R0030_LFP_Averages'!C9)*('R0030_LFP_Liberation'!$H$8/100)</f>
        <v>6.1369200250016177E-3</v>
      </c>
      <c r="D9" s="16">
        <f>'R0030_LFP_Averages'!D9*('R0030_LFP_Liberation'!$H$7/100)</f>
        <v>7.2837638771186985E-2</v>
      </c>
      <c r="E9" s="16">
        <f>'R0030_LFP_Averages'!E9*('R0030_LFP_Liberation'!$H$7/100)</f>
        <v>7.3031679359025397E-3</v>
      </c>
      <c r="F9" s="16">
        <f>'R0030_LFP_Averages'!F9*('R0030_LFP_Liberation'!$H$6/100)</f>
        <v>0.16639423236078318</v>
      </c>
      <c r="G9" s="16">
        <f>'R0030_LFP_Averages'!G9*('R0030_LFP_Liberation'!$H$6/100)</f>
        <v>2.3931578640847856E-2</v>
      </c>
      <c r="H9" s="16">
        <f>'R0030_LFP_Averages'!H9*('R0030_LFP_Liberation'!$H$5/100)</f>
        <v>0.3844967425124628</v>
      </c>
      <c r="I9" s="16">
        <f>'R0030_LFP_Averages'!I9*('R0030_LFP_Liberation'!$H$5/100)</f>
        <v>1.9664512764703608E-2</v>
      </c>
      <c r="J9" s="16">
        <f>'R0030_LFP_Averages'!J9*('R0030_LFP_Liberation'!$H$4/100)</f>
        <v>0.67560115786887298</v>
      </c>
      <c r="K9" s="16">
        <f>'R0030_LFP_Averages'!K9*('R0030_LFP_Liberation'!$H$4/100)</f>
        <v>0.10591797410189005</v>
      </c>
      <c r="L9" s="16">
        <f>'R0030_LFP_Averages'!L9*('R0030_LFP_Liberation'!$H$3/100)</f>
        <v>0.99732329871079428</v>
      </c>
      <c r="M9" s="16">
        <f>'R0030_LFP_Averages'!M9*('R0030_LFP_Liberation'!$H$3/100)</f>
        <v>0.14160156517232628</v>
      </c>
      <c r="O9" s="16">
        <f t="shared" si="0"/>
        <v>2.3533511650415955</v>
      </c>
      <c r="P9" s="16">
        <f t="shared" si="0"/>
        <v>0.30455571864067199</v>
      </c>
    </row>
    <row r="10" spans="1:16" s="10" customFormat="1" x14ac:dyDescent="0.25">
      <c r="A10" s="14" t="s">
        <v>20</v>
      </c>
      <c r="B10" s="18">
        <f>'R0030_LFP_Averages'!B10*('R0030_LFP_Liberation'!$H$8/100)</f>
        <v>2.6997695155748054</v>
      </c>
      <c r="C10" s="18">
        <f>('R0030_LFP_Averages'!C10)*('R0030_LFP_Liberation'!$H$8/100)</f>
        <v>1.2287147463645285E-2</v>
      </c>
      <c r="D10" s="18">
        <f>'R0030_LFP_Averages'!D10*('R0030_LFP_Liberation'!$H$7/100)</f>
        <v>3.3342387791354695</v>
      </c>
      <c r="E10" s="18">
        <f>'R0030_LFP_Averages'!E10*('R0030_LFP_Liberation'!$H$7/100)</f>
        <v>1.2565422694684173E-2</v>
      </c>
      <c r="F10" s="18">
        <f>'R0030_LFP_Averages'!F10*('R0030_LFP_Liberation'!$H$6/100)</f>
        <v>6.8552062543848979</v>
      </c>
      <c r="G10" s="18">
        <f>'R0030_LFP_Averages'!G10*('R0030_LFP_Liberation'!$H$6/100)</f>
        <v>3.4259549735144612E-2</v>
      </c>
      <c r="H10" s="18">
        <f>'R0030_LFP_Averages'!H10*('R0030_LFP_Liberation'!$H$5/100)</f>
        <v>10.828621152900386</v>
      </c>
      <c r="I10" s="18">
        <f>'R0030_LFP_Averages'!I10*('R0030_LFP_Liberation'!$H$5/100)</f>
        <v>5.6785249125053942E-2</v>
      </c>
      <c r="J10" s="18">
        <f>'R0030_LFP_Averages'!J10*('R0030_LFP_Liberation'!$H$4/100)</f>
        <v>21.951620133960237</v>
      </c>
      <c r="K10" s="18">
        <f>'R0030_LFP_Averages'!K10*('R0030_LFP_Liberation'!$H$4/100)</f>
        <v>0.37840181616792629</v>
      </c>
      <c r="L10" s="18">
        <f>'R0030_LFP_Averages'!L10*('R0030_LFP_Liberation'!$H$3/100)</f>
        <v>26.644436614560238</v>
      </c>
      <c r="M10" s="18">
        <f>'R0030_LFP_Averages'!M10*('R0030_LFP_Liberation'!$H$3/100)</f>
        <v>0.13619284774069054</v>
      </c>
      <c r="O10" s="18">
        <f t="shared" si="0"/>
        <v>72.313892450516036</v>
      </c>
      <c r="P10" s="18">
        <f t="shared" si="0"/>
        <v>0.63049203292714484</v>
      </c>
    </row>
    <row r="11" spans="1:16" s="11" customFormat="1" x14ac:dyDescent="0.25">
      <c r="A11" s="15" t="s">
        <v>17</v>
      </c>
      <c r="B11" s="17">
        <f>'R0030_LFP_Averages'!B11*('R0030_LFP_Liberation'!$H$8/100)</f>
        <v>1.770204053866266</v>
      </c>
      <c r="C11" s="17">
        <f>('R0030_LFP_Averages'!C11)*('R0030_LFP_Liberation'!$H$8/100)</f>
        <v>2.3767891761733852E-2</v>
      </c>
      <c r="D11" s="17">
        <f>'R0030_LFP_Averages'!D11*('R0030_LFP_Liberation'!$H$7/100)</f>
        <v>2.1351759420005698</v>
      </c>
      <c r="E11" s="17">
        <f>'R0030_LFP_Averages'!E11*('R0030_LFP_Liberation'!$H$7/100)</f>
        <v>3.8663565203322675E-2</v>
      </c>
      <c r="F11" s="17">
        <f>'R0030_LFP_Averages'!F11*('R0030_LFP_Liberation'!$H$6/100)</f>
        <v>4.1161921309320242</v>
      </c>
      <c r="G11" s="17">
        <f>'R0030_LFP_Averages'!G11*('R0030_LFP_Liberation'!$H$6/100)</f>
        <v>0.18497796629939128</v>
      </c>
      <c r="H11" s="17">
        <f>'R0030_LFP_Averages'!H11*('R0030_LFP_Liberation'!$H$5/100)</f>
        <v>5.8821828546432524</v>
      </c>
      <c r="I11" s="17">
        <f>'R0030_LFP_Averages'!I11*('R0030_LFP_Liberation'!$H$5/100)</f>
        <v>0.16506631594910234</v>
      </c>
      <c r="J11" s="17">
        <f>'R0030_LFP_Averages'!J11*('R0030_LFP_Liberation'!$H$4/100)</f>
        <v>11.951454737641013</v>
      </c>
      <c r="K11" s="17">
        <f>'R0030_LFP_Averages'!K11*('R0030_LFP_Liberation'!$H$4/100)</f>
        <v>0.84090373557833276</v>
      </c>
      <c r="L11" s="17">
        <f>'R0030_LFP_Averages'!L11*('R0030_LFP_Liberation'!$H$3/100)</f>
        <v>12.051571257932725</v>
      </c>
      <c r="M11" s="17">
        <f>'R0030_LFP_Averages'!M11*('R0030_LFP_Liberation'!$H$3/100)</f>
        <v>0.9044460850240913</v>
      </c>
      <c r="O11" s="17">
        <f t="shared" si="0"/>
        <v>37.906780977015856</v>
      </c>
      <c r="P11" s="17">
        <f t="shared" si="0"/>
        <v>2.1578255598159743</v>
      </c>
    </row>
    <row r="12" spans="1:16" x14ac:dyDescent="0.25">
      <c r="A12" s="2" t="s">
        <v>8</v>
      </c>
      <c r="B12" s="16">
        <f>'R0030_LFP_Averages'!B12*('R0030_LFP_Liberation'!$H$8/100)</f>
        <v>1.707469269032716</v>
      </c>
      <c r="C12" s="16">
        <f>('R0030_LFP_Averages'!C12)*('R0030_LFP_Liberation'!$H$8/100)</f>
        <v>2.5294000899062859E-2</v>
      </c>
      <c r="D12" s="16">
        <f>'R0030_LFP_Averages'!D12*('R0030_LFP_Liberation'!$H$7/100)</f>
        <v>2.0327226039738582</v>
      </c>
      <c r="E12" s="16">
        <f>'R0030_LFP_Averages'!E12*('R0030_LFP_Liberation'!$H$7/100)</f>
        <v>5.4440190187091564E-2</v>
      </c>
      <c r="F12" s="16">
        <f>'R0030_LFP_Averages'!F12*('R0030_LFP_Liberation'!$H$6/100)</f>
        <v>3.6653907314909691</v>
      </c>
      <c r="G12" s="16">
        <f>'R0030_LFP_Averages'!G12*('R0030_LFP_Liberation'!$H$6/100)</f>
        <v>5.7629820223971569E-2</v>
      </c>
      <c r="H12" s="16">
        <f>'R0030_LFP_Averages'!H12*('R0030_LFP_Liberation'!$H$5/100)</f>
        <v>5.3595312364057168</v>
      </c>
      <c r="I12" s="16">
        <f>'R0030_LFP_Averages'!I12*('R0030_LFP_Liberation'!$H$5/100)</f>
        <v>0.22105708857617407</v>
      </c>
      <c r="J12" s="16">
        <f>'R0030_LFP_Averages'!J12*('R0030_LFP_Liberation'!$H$4/100)</f>
        <v>10.591265949795776</v>
      </c>
      <c r="K12" s="16">
        <f>'R0030_LFP_Averages'!K12*('R0030_LFP_Liberation'!$H$4/100)</f>
        <v>0.74176914579629016</v>
      </c>
      <c r="L12" s="16">
        <f>'R0030_LFP_Averages'!L12*('R0030_LFP_Liberation'!$H$3/100)</f>
        <v>10.380037761084283</v>
      </c>
      <c r="M12" s="16">
        <f>'R0030_LFP_Averages'!M12*('R0030_LFP_Liberation'!$H$3/100)</f>
        <v>0.40530555100100202</v>
      </c>
      <c r="O12" s="16">
        <f t="shared" si="0"/>
        <v>33.736417551783319</v>
      </c>
      <c r="P12" s="16">
        <f t="shared" si="0"/>
        <v>1.5054957966835922</v>
      </c>
    </row>
    <row r="13" spans="1:16" x14ac:dyDescent="0.25">
      <c r="A13" s="2" t="s">
        <v>6</v>
      </c>
      <c r="B13" s="16">
        <f>'R0030_LFP_Averages'!B13*('R0030_LFP_Liberation'!$H$8/100)</f>
        <v>4.5529450508369144E-2</v>
      </c>
      <c r="C13" s="16">
        <f>('R0030_LFP_Averages'!C13)*('R0030_LFP_Liberation'!$H$8/100)</f>
        <v>8.2721889340463626E-3</v>
      </c>
      <c r="D13" s="16">
        <f>'R0030_LFP_Averages'!D13*('R0030_LFP_Liberation'!$H$7/100)</f>
        <v>5.2929591412379642E-2</v>
      </c>
      <c r="E13" s="16">
        <f>'R0030_LFP_Averages'!E13*('R0030_LFP_Liberation'!$H$7/100)</f>
        <v>2.5279721683011028E-2</v>
      </c>
      <c r="F13" s="16">
        <f>'R0030_LFP_Averages'!F13*('R0030_LFP_Liberation'!$H$6/100)</f>
        <v>0.22004063947917482</v>
      </c>
      <c r="G13" s="16">
        <f>'R0030_LFP_Averages'!G13*('R0030_LFP_Liberation'!$H$6/100)</f>
        <v>0.10901576020564757</v>
      </c>
      <c r="H13" s="16">
        <f>'R0030_LFP_Averages'!H13*('R0030_LFP_Liberation'!$H$5/100)</f>
        <v>0.33895986654990906</v>
      </c>
      <c r="I13" s="16">
        <f>'R0030_LFP_Averages'!I13*('R0030_LFP_Liberation'!$H$5/100)</f>
        <v>6.1971305876583067E-2</v>
      </c>
      <c r="J13" s="16">
        <f>'R0030_LFP_Averages'!J13*('R0030_LFP_Liberation'!$H$4/100)</f>
        <v>0.45967247729618604</v>
      </c>
      <c r="K13" s="16">
        <f>'R0030_LFP_Averages'!K13*('R0030_LFP_Liberation'!$H$4/100)</f>
        <v>0.11472667293712489</v>
      </c>
      <c r="L13" s="16">
        <f>'R0030_LFP_Averages'!L13*('R0030_LFP_Liberation'!$H$3/100)</f>
        <v>0.29723473348282448</v>
      </c>
      <c r="M13" s="16">
        <f>'R0030_LFP_Averages'!M13*('R0030_LFP_Liberation'!$H$3/100)</f>
        <v>0.1904488166898205</v>
      </c>
      <c r="O13" s="16">
        <f t="shared" si="0"/>
        <v>1.4143667587288431</v>
      </c>
      <c r="P13" s="16">
        <f t="shared" si="0"/>
        <v>0.50971446632623341</v>
      </c>
    </row>
    <row r="14" spans="1:16" x14ac:dyDescent="0.25">
      <c r="A14" s="2" t="s">
        <v>14</v>
      </c>
      <c r="B14" s="16">
        <f>'R0030_LFP_Averages'!B14*('R0030_LFP_Liberation'!$H$8/100)</f>
        <v>6.699723007282569E-3</v>
      </c>
      <c r="C14" s="16">
        <f>('R0030_LFP_Averages'!C14)*('R0030_LFP_Liberation'!$H$8/100)</f>
        <v>3.6993344293105687E-3</v>
      </c>
      <c r="D14" s="16">
        <f>'R0030_LFP_Averages'!D14*('R0030_LFP_Liberation'!$H$7/100)</f>
        <v>2.4560906647048162E-2</v>
      </c>
      <c r="E14" s="16">
        <f>'R0030_LFP_Averages'!E14*('R0030_LFP_Liberation'!$H$7/100)</f>
        <v>1.2237074274546298E-2</v>
      </c>
      <c r="F14" s="16">
        <f>'R0030_LFP_Averages'!F14*('R0030_LFP_Liberation'!$H$6/100)</f>
        <v>4.8212651367099083E-2</v>
      </c>
      <c r="G14" s="16">
        <f>'R0030_LFP_Averages'!G14*('R0030_LFP_Liberation'!$H$6/100)</f>
        <v>2.9679885530508279E-2</v>
      </c>
      <c r="H14" s="16">
        <f>'R0030_LFP_Averages'!H14*('R0030_LFP_Liberation'!$H$5/100)</f>
        <v>7.2628746136899541E-2</v>
      </c>
      <c r="I14" s="16">
        <f>'R0030_LFP_Averages'!I14*('R0030_LFP_Liberation'!$H$5/100)</f>
        <v>3.537386651466308E-2</v>
      </c>
      <c r="J14" s="16">
        <f>'R0030_LFP_Averages'!J14*('R0030_LFP_Liberation'!$H$4/100)</f>
        <v>0.74080363246002956</v>
      </c>
      <c r="K14" s="16">
        <f>'R0030_LFP_Averages'!K14*('R0030_LFP_Liberation'!$H$4/100)</f>
        <v>0.14538485690200328</v>
      </c>
      <c r="L14" s="16">
        <f>'R0030_LFP_Averages'!L14*('R0030_LFP_Liberation'!$H$3/100)</f>
        <v>0.70346209547030369</v>
      </c>
      <c r="M14" s="16">
        <f>'R0030_LFP_Averages'!M14*('R0030_LFP_Liberation'!$H$3/100)</f>
        <v>0.16714618184431107</v>
      </c>
      <c r="O14" s="16">
        <f t="shared" si="0"/>
        <v>1.5963677550886626</v>
      </c>
      <c r="P14" s="16">
        <f t="shared" si="0"/>
        <v>0.39352119949534259</v>
      </c>
    </row>
    <row r="15" spans="1:16" x14ac:dyDescent="0.25">
      <c r="A15" s="2" t="s">
        <v>15</v>
      </c>
      <c r="B15" s="16">
        <f>'R0030_LFP_Averages'!B15*('R0030_LFP_Liberation'!$H$8/100)</f>
        <v>9.7095780477922111E-3</v>
      </c>
      <c r="C15" s="16">
        <f>('R0030_LFP_Averages'!C15)*('R0030_LFP_Liberation'!$H$8/100)</f>
        <v>3.3747875546429663E-3</v>
      </c>
      <c r="D15" s="16">
        <f>'R0030_LFP_Averages'!D15*('R0030_LFP_Liberation'!$H$7/100)</f>
        <v>2.376896582397223E-2</v>
      </c>
      <c r="E15" s="16">
        <f>'R0030_LFP_Averages'!E15*('R0030_LFP_Liberation'!$H$7/100)</f>
        <v>1.4011530159988453E-2</v>
      </c>
      <c r="F15" s="16">
        <f>'R0030_LFP_Averages'!F15*('R0030_LFP_Liberation'!$H$6/100)</f>
        <v>0.17759233268401156</v>
      </c>
      <c r="G15" s="16">
        <f>'R0030_LFP_Averages'!G15*('R0030_LFP_Liberation'!$H$6/100)</f>
        <v>6.0851928651163845E-2</v>
      </c>
      <c r="H15" s="16">
        <f>'R0030_LFP_Averages'!H15*('R0030_LFP_Liberation'!$H$5/100)</f>
        <v>0.10614019349613321</v>
      </c>
      <c r="I15" s="16">
        <f>'R0030_LFP_Averages'!I15*('R0030_LFP_Liberation'!$H$5/100)</f>
        <v>5.2724176597750284E-2</v>
      </c>
      <c r="J15" s="16">
        <f>'R0030_LFP_Averages'!J15*('R0030_LFP_Liberation'!$H$4/100)</f>
        <v>0.14373536641813911</v>
      </c>
      <c r="K15" s="16">
        <f>'R0030_LFP_Averages'!K15*('R0030_LFP_Liberation'!$H$4/100)</f>
        <v>0.11480695699066663</v>
      </c>
      <c r="L15" s="16">
        <f>'R0030_LFP_Averages'!L15*('R0030_LFP_Liberation'!$H$3/100)</f>
        <v>0.67083666789531426</v>
      </c>
      <c r="M15" s="16">
        <f>'R0030_LFP_Averages'!M15*('R0030_LFP_Liberation'!$H$3/100)</f>
        <v>0.59569727304397324</v>
      </c>
      <c r="O15" s="16">
        <f t="shared" si="0"/>
        <v>1.1317831043653626</v>
      </c>
      <c r="P15" s="16">
        <f t="shared" si="0"/>
        <v>0.84146665299818535</v>
      </c>
    </row>
    <row r="16" spans="1:16" x14ac:dyDescent="0.25">
      <c r="A16" s="2" t="s">
        <v>16</v>
      </c>
      <c r="B16" s="16">
        <f>'R0030_LFP_Averages'!B16*('R0030_LFP_Liberation'!$H$8/100)</f>
        <v>7.9603327010619189E-4</v>
      </c>
      <c r="C16" s="16">
        <f>('R0030_LFP_Averages'!C16)*('R0030_LFP_Liberation'!$H$8/100)</f>
        <v>5.6077824470164171E-4</v>
      </c>
      <c r="D16" s="16">
        <f>'R0030_LFP_Averages'!D16*('R0030_LFP_Liberation'!$H$7/100)</f>
        <v>1.1938741433117374E-3</v>
      </c>
      <c r="E16" s="16">
        <f>'R0030_LFP_Averages'!E16*('R0030_LFP_Liberation'!$H$7/100)</f>
        <v>7.059082076037997E-4</v>
      </c>
      <c r="F16" s="16">
        <f>'R0030_LFP_Averages'!F16*('R0030_LFP_Liberation'!$H$6/100)</f>
        <v>4.9557759107691753E-3</v>
      </c>
      <c r="G16" s="16">
        <f>'R0030_LFP_Averages'!G16*('R0030_LFP_Liberation'!$H$6/100)</f>
        <v>3.3585919590961894E-3</v>
      </c>
      <c r="H16" s="16">
        <f>'R0030_LFP_Averages'!H16*('R0030_LFP_Liberation'!$H$5/100)</f>
        <v>4.9228120545941681E-3</v>
      </c>
      <c r="I16" s="16">
        <f>'R0030_LFP_Averages'!I16*('R0030_LFP_Liberation'!$H$5/100)</f>
        <v>3.466222026571807E-3</v>
      </c>
      <c r="J16" s="16">
        <f>'R0030_LFP_Averages'!J16*('R0030_LFP_Liberation'!$H$4/100)</f>
        <v>1.5977311670883312E-2</v>
      </c>
      <c r="K16" s="16">
        <f>'R0030_LFP_Averages'!K16*('R0030_LFP_Liberation'!$H$4/100)</f>
        <v>1.6151251224810988E-2</v>
      </c>
      <c r="L16" s="16">
        <f>'R0030_LFP_Averages'!L16*('R0030_LFP_Liberation'!$H$3/100)</f>
        <v>0</v>
      </c>
      <c r="M16" s="16">
        <f>'R0030_LFP_Averages'!M16*('R0030_LFP_Liberation'!$H$3/100)</f>
        <v>0</v>
      </c>
      <c r="O16" s="16">
        <f t="shared" si="0"/>
        <v>2.7845807049664585E-2</v>
      </c>
      <c r="P16" s="16">
        <f t="shared" si="0"/>
        <v>2.4242751662784424E-2</v>
      </c>
    </row>
    <row r="17" spans="1:21" s="20" customFormat="1" x14ac:dyDescent="0.25">
      <c r="A17" s="12" t="s">
        <v>18</v>
      </c>
      <c r="B17" s="19">
        <f>'R0030_LFP_Averages'!B17*('R0030_LFP_Liberation'!$H$8/100)</f>
        <v>0.92956546170853893</v>
      </c>
      <c r="C17" s="19">
        <f>('R0030_LFP_Averages'!C17)*('R0030_LFP_Liberation'!$H$8/100)</f>
        <v>1.9200536129358858E-2</v>
      </c>
      <c r="D17" s="19">
        <f>'R0030_LFP_Averages'!D17*('R0030_LFP_Liberation'!$H$7/100)</f>
        <v>1.1990628371348993</v>
      </c>
      <c r="E17" s="19">
        <f>'R0030_LFP_Averages'!E17*('R0030_LFP_Liberation'!$H$7/100)</f>
        <v>3.6684323927417627E-2</v>
      </c>
      <c r="F17" s="19">
        <f>'R0030_LFP_Averages'!F17*('R0030_LFP_Liberation'!$H$6/100)</f>
        <v>2.7390141234528742</v>
      </c>
      <c r="G17" s="19">
        <f>'R0030_LFP_Averages'!G17*('R0030_LFP_Liberation'!$H$6/100)</f>
        <v>0.17781910627043795</v>
      </c>
      <c r="H17" s="19">
        <f>'R0030_LFP_Averages'!H17*('R0030_LFP_Liberation'!$H$5/100)</f>
        <v>4.9464382982571307</v>
      </c>
      <c r="I17" s="19">
        <f>'R0030_LFP_Averages'!I17*('R0030_LFP_Liberation'!$H$5/100)</f>
        <v>0.18089822215846685</v>
      </c>
      <c r="J17" s="19">
        <f>'R0030_LFP_Averages'!J17*('R0030_LFP_Liberation'!$H$4/100)</f>
        <v>10.000165396319224</v>
      </c>
      <c r="K17" s="19">
        <f>'R0030_LFP_Averages'!K17*('R0030_LFP_Liberation'!$H$4/100)</f>
        <v>0.46665022991048605</v>
      </c>
      <c r="L17" s="19">
        <f>'R0030_LFP_Averages'!L17*('R0030_LFP_Liberation'!$H$3/100)</f>
        <v>14.592865356627517</v>
      </c>
      <c r="M17" s="19">
        <f>'R0030_LFP_Averages'!M17*('R0030_LFP_Liberation'!$H$3/100)</f>
        <v>1.0117595909777664</v>
      </c>
      <c r="O17" s="19">
        <f>SUM(B17,D17,F17,H17,J17,L17)</f>
        <v>34.40711147350018</v>
      </c>
      <c r="P17" s="19">
        <f>SUM(C17,E17,G17,I17,K17,M17)</f>
        <v>1.8930120093739338</v>
      </c>
    </row>
    <row r="18" spans="1:21" x14ac:dyDescent="0.25">
      <c r="A18" s="2" t="s">
        <v>8</v>
      </c>
      <c r="B18" s="16">
        <f>'R0030_LFP_Averages'!B18*('R0030_LFP_Liberation'!$H$8/100)</f>
        <v>8.6656852595824881E-4</v>
      </c>
      <c r="C18" s="16">
        <f>('R0030_LFP_Averages'!C18)*('R0030_LFP_Liberation'!$H$8/100)</f>
        <v>6.8574366700569237E-4</v>
      </c>
      <c r="D18" s="16">
        <f>'R0030_LFP_Averages'!D18*('R0030_LFP_Liberation'!$H$7/100)</f>
        <v>1.1857715910587078E-3</v>
      </c>
      <c r="E18" s="16">
        <f>'R0030_LFP_Averages'!E18*('R0030_LFP_Liberation'!$H$7/100)</f>
        <v>1.2245904021559193E-3</v>
      </c>
      <c r="F18" s="16">
        <f>'R0030_LFP_Averages'!F18*('R0030_LFP_Liberation'!$H$6/100)</f>
        <v>1.4262146738157729E-2</v>
      </c>
      <c r="G18" s="16">
        <f>'R0030_LFP_Averages'!G18*('R0030_LFP_Liberation'!$H$6/100)</f>
        <v>1.83726208549745E-2</v>
      </c>
      <c r="H18" s="16">
        <f>'R0030_LFP_Averages'!H18*('R0030_LFP_Liberation'!$H$5/100)</f>
        <v>0</v>
      </c>
      <c r="I18" s="16">
        <f>'R0030_LFP_Averages'!I18*('R0030_LFP_Liberation'!$H$5/100)</f>
        <v>0</v>
      </c>
      <c r="J18" s="16">
        <f>'R0030_LFP_Averages'!J18*('R0030_LFP_Liberation'!$H$4/100)</f>
        <v>5.6345259210820953E-2</v>
      </c>
      <c r="K18" s="16">
        <f>'R0030_LFP_Averages'!K18*('R0030_LFP_Liberation'!$H$4/100)</f>
        <v>9.7592851718780155E-2</v>
      </c>
      <c r="L18" s="16">
        <f>'R0030_LFP_Averages'!L18*('R0030_LFP_Liberation'!$H$3/100)</f>
        <v>0.1109886285597515</v>
      </c>
      <c r="M18" s="16">
        <f>'R0030_LFP_Averages'!M18*('R0030_LFP_Liberation'!$H$3/100)</f>
        <v>0.11109684661145987</v>
      </c>
      <c r="O18" s="16">
        <f>SUM(B18,D18,F18,H18,J18,L18)</f>
        <v>0.18364837462574712</v>
      </c>
      <c r="P18" s="16">
        <f>SUM(C18,E18,G18,I18,K18,M18)</f>
        <v>0.22897265325437613</v>
      </c>
    </row>
    <row r="19" spans="1:21" x14ac:dyDescent="0.25">
      <c r="A19" s="2" t="s">
        <v>6</v>
      </c>
      <c r="B19" s="16">
        <f>'R0030_LFP_Averages'!B19*('R0030_LFP_Liberation'!$H$8/100)</f>
        <v>0.89842896016774043</v>
      </c>
      <c r="C19" s="16">
        <f>('R0030_LFP_Averages'!C19)*('R0030_LFP_Liberation'!$H$8/100)</f>
        <v>1.8013282954317644E-2</v>
      </c>
      <c r="D19" s="16">
        <f>'R0030_LFP_Averages'!D19*('R0030_LFP_Liberation'!$H$7/100)</f>
        <v>1.1054603720029408</v>
      </c>
      <c r="E19" s="16">
        <f>'R0030_LFP_Averages'!E19*('R0030_LFP_Liberation'!$H$7/100)</f>
        <v>2.9117308601488302E-2</v>
      </c>
      <c r="F19" s="16">
        <f>'R0030_LFP_Averages'!F19*('R0030_LFP_Liberation'!$H$6/100)</f>
        <v>2.4880191386035908</v>
      </c>
      <c r="G19" s="16">
        <f>'R0030_LFP_Averages'!G19*('R0030_LFP_Liberation'!$H$6/100)</f>
        <v>0.15066722832959292</v>
      </c>
      <c r="H19" s="16">
        <f>'R0030_LFP_Averages'!H19*('R0030_LFP_Liberation'!$H$5/100)</f>
        <v>4.1984331491330149</v>
      </c>
      <c r="I19" s="16">
        <f>'R0030_LFP_Averages'!I19*('R0030_LFP_Liberation'!$H$5/100)</f>
        <v>0.17267462369729492</v>
      </c>
      <c r="J19" s="16">
        <f>'R0030_LFP_Averages'!J19*('R0030_LFP_Liberation'!$H$4/100)</f>
        <v>8.3503983257224199</v>
      </c>
      <c r="K19" s="16">
        <f>'R0030_LFP_Averages'!K19*('R0030_LFP_Liberation'!$H$4/100)</f>
        <v>0.37816713236687949</v>
      </c>
      <c r="L19" s="16">
        <f>'R0030_LFP_Averages'!L19*('R0030_LFP_Liberation'!$H$3/100)</f>
        <v>10.153170561861639</v>
      </c>
      <c r="M19" s="16">
        <f>'R0030_LFP_Averages'!M19*('R0030_LFP_Liberation'!$H$3/100)</f>
        <v>1.622111102035432</v>
      </c>
      <c r="O19" s="16">
        <f t="shared" ref="O19:P22" si="1">SUM(B19,D19,F19,H19,J19,L19)</f>
        <v>27.193910507491346</v>
      </c>
      <c r="P19" s="16">
        <f t="shared" si="1"/>
        <v>2.3707506779850052</v>
      </c>
    </row>
    <row r="20" spans="1:21" x14ac:dyDescent="0.25">
      <c r="A20" s="2" t="s">
        <v>14</v>
      </c>
      <c r="B20" s="16">
        <f>'R0030_LFP_Averages'!B20*('R0030_LFP_Liberation'!$H$8/100)</f>
        <v>1.8817339519183135E-3</v>
      </c>
      <c r="C20" s="16">
        <f>('R0030_LFP_Averages'!C20)*('R0030_LFP_Liberation'!$H$8/100)</f>
        <v>1.3745155750240284E-3</v>
      </c>
      <c r="D20" s="16">
        <f>'R0030_LFP_Averages'!D20*('R0030_LFP_Liberation'!$H$7/100)</f>
        <v>9.3293904401838008E-3</v>
      </c>
      <c r="E20" s="16">
        <f>'R0030_LFP_Averages'!E20*('R0030_LFP_Liberation'!$H$7/100)</f>
        <v>3.7475006259044211E-3</v>
      </c>
      <c r="F20" s="16">
        <f>'R0030_LFP_Averages'!F20*('R0030_LFP_Liberation'!$H$6/100)</f>
        <v>1.8807981774686459E-2</v>
      </c>
      <c r="G20" s="16">
        <f>'R0030_LFP_Averages'!G20*('R0030_LFP_Liberation'!$H$6/100)</f>
        <v>4.8052801826801005E-3</v>
      </c>
      <c r="H20" s="16">
        <f>'R0030_LFP_Averages'!H20*('R0030_LFP_Liberation'!$H$5/100)</f>
        <v>0.1076310745060397</v>
      </c>
      <c r="I20" s="16">
        <f>'R0030_LFP_Averages'!I20*('R0030_LFP_Liberation'!$H$5/100)</f>
        <v>0.10304607632851155</v>
      </c>
      <c r="J20" s="16">
        <f>'R0030_LFP_Averages'!J20*('R0030_LFP_Liberation'!$H$4/100)</f>
        <v>0.40844779240539891</v>
      </c>
      <c r="K20" s="16">
        <f>'R0030_LFP_Averages'!K20*('R0030_LFP_Liberation'!$H$4/100)</f>
        <v>0.26195185458627668</v>
      </c>
      <c r="L20" s="16">
        <f>'R0030_LFP_Averages'!L20*('R0030_LFP_Liberation'!$H$3/100)</f>
        <v>2.0830980921168298</v>
      </c>
      <c r="M20" s="16">
        <f>'R0030_LFP_Averages'!M20*('R0030_LFP_Liberation'!$H$3/100)</f>
        <v>0.65227349761331344</v>
      </c>
      <c r="O20" s="16">
        <f t="shared" si="1"/>
        <v>2.6291960651950568</v>
      </c>
      <c r="P20" s="16">
        <f t="shared" si="1"/>
        <v>1.0271987249117103</v>
      </c>
    </row>
    <row r="21" spans="1:21" x14ac:dyDescent="0.25">
      <c r="A21" s="2" t="s">
        <v>15</v>
      </c>
      <c r="B21" s="16">
        <f>'R0030_LFP_Averages'!B21*('R0030_LFP_Liberation'!$H$8/100)</f>
        <v>2.4604357132950384E-2</v>
      </c>
      <c r="C21" s="16">
        <f>('R0030_LFP_Averages'!C21)*('R0030_LFP_Liberation'!$H$8/100)</f>
        <v>5.7530285438865203E-3</v>
      </c>
      <c r="D21" s="16">
        <f>'R0030_LFP_Averages'!D21*('R0030_LFP_Liberation'!$H$7/100)</f>
        <v>7.8155678634464223E-2</v>
      </c>
      <c r="E21" s="16">
        <f>'R0030_LFP_Averages'!E21*('R0030_LFP_Liberation'!$H$7/100)</f>
        <v>1.0425694177873195E-2</v>
      </c>
      <c r="F21" s="16">
        <f>'R0030_LFP_Averages'!F21*('R0030_LFP_Liberation'!$H$6/100)</f>
        <v>0.19606076577009846</v>
      </c>
      <c r="G21" s="16">
        <f>'R0030_LFP_Averages'!G21*('R0030_LFP_Liberation'!$H$6/100)</f>
        <v>2.6786690545618535E-2</v>
      </c>
      <c r="H21" s="16">
        <f>'R0030_LFP_Averages'!H21*('R0030_LFP_Liberation'!$H$5/100)</f>
        <v>0.58538661882111553</v>
      </c>
      <c r="I21" s="16">
        <f>'R0030_LFP_Averages'!I21*('R0030_LFP_Liberation'!$H$5/100)</f>
        <v>0.12724112138960569</v>
      </c>
      <c r="J21" s="16">
        <f>'R0030_LFP_Averages'!J21*('R0030_LFP_Liberation'!$H$4/100)</f>
        <v>1.1210917793924222</v>
      </c>
      <c r="K21" s="16">
        <f>'R0030_LFP_Averages'!K21*('R0030_LFP_Liberation'!$H$4/100)</f>
        <v>0.23764819677105772</v>
      </c>
      <c r="L21" s="16">
        <f>'R0030_LFP_Averages'!L21*('R0030_LFP_Liberation'!$H$3/100)</f>
        <v>1.8675014791479956</v>
      </c>
      <c r="M21" s="16">
        <f>'R0030_LFP_Averages'!M21*('R0030_LFP_Liberation'!$H$3/100)</f>
        <v>0.63603225553270337</v>
      </c>
      <c r="O21" s="16">
        <f t="shared" si="1"/>
        <v>3.8728006788990461</v>
      </c>
      <c r="P21" s="16">
        <f t="shared" si="1"/>
        <v>1.043886986960745</v>
      </c>
    </row>
    <row r="22" spans="1:21" x14ac:dyDescent="0.25">
      <c r="A22" s="2" t="s">
        <v>16</v>
      </c>
      <c r="B22" s="16">
        <f>'R0030_LFP_Averages'!B22*('R0030_LFP_Liberation'!$H$8/100)</f>
        <v>3.783841929971791E-3</v>
      </c>
      <c r="C22" s="16">
        <f>('R0030_LFP_Averages'!C22)*('R0030_LFP_Liberation'!$H$8/100)</f>
        <v>1.097473506446723E-3</v>
      </c>
      <c r="D22" s="16">
        <f>'R0030_LFP_Averages'!D22*('R0030_LFP_Liberation'!$H$7/100)</f>
        <v>4.9316244662519675E-3</v>
      </c>
      <c r="E22" s="16">
        <f>'R0030_LFP_Averages'!E22*('R0030_LFP_Liberation'!$H$7/100)</f>
        <v>1.6516439663818861E-3</v>
      </c>
      <c r="F22" s="16">
        <f>'R0030_LFP_Averages'!F22*('R0030_LFP_Liberation'!$H$6/100)</f>
        <v>2.186409056634071E-2</v>
      </c>
      <c r="G22" s="16">
        <f>'R0030_LFP_Averages'!G22*('R0030_LFP_Liberation'!$H$6/100)</f>
        <v>1.3678796336984283E-2</v>
      </c>
      <c r="H22" s="16">
        <f>'R0030_LFP_Averages'!H22*('R0030_LFP_Liberation'!$H$5/100)</f>
        <v>5.4987455796961147E-2</v>
      </c>
      <c r="I22" s="16">
        <f>'R0030_LFP_Averages'!I22*('R0030_LFP_Liberation'!$H$5/100)</f>
        <v>3.6090963669928311E-2</v>
      </c>
      <c r="J22" s="16">
        <f>'R0030_LFP_Averages'!J22*('R0030_LFP_Liberation'!$H$4/100)</f>
        <v>6.3882239588162901E-2</v>
      </c>
      <c r="K22" s="16">
        <f>'R0030_LFP_Averages'!K22*('R0030_LFP_Liberation'!$H$4/100)</f>
        <v>1.7275926297641589E-2</v>
      </c>
      <c r="L22" s="16">
        <f>'R0030_LFP_Averages'!L22*('R0030_LFP_Liberation'!$H$3/100)</f>
        <v>0.37810659494130044</v>
      </c>
      <c r="M22" s="16">
        <f>'R0030_LFP_Averages'!M22*('R0030_LFP_Liberation'!$H$3/100)</f>
        <v>0.32617551845830622</v>
      </c>
      <c r="O22" s="16">
        <f t="shared" si="1"/>
        <v>0.52755584728898897</v>
      </c>
      <c r="P22" s="16">
        <f t="shared" si="1"/>
        <v>0.39597032223568901</v>
      </c>
    </row>
    <row r="24" spans="1:21" x14ac:dyDescent="0.25">
      <c r="A24" t="s">
        <v>109</v>
      </c>
      <c r="F24" t="s">
        <v>76</v>
      </c>
      <c r="O24" s="16"/>
    </row>
    <row r="25" spans="1:21" x14ac:dyDescent="0.25">
      <c r="A25" t="s">
        <v>110</v>
      </c>
      <c r="B25" s="46">
        <v>1</v>
      </c>
      <c r="C25" s="47">
        <f>B25</f>
        <v>1</v>
      </c>
      <c r="D25" s="45">
        <v>2</v>
      </c>
      <c r="E25" s="47">
        <f>D25</f>
        <v>2</v>
      </c>
      <c r="F25" s="45">
        <v>2.8</v>
      </c>
      <c r="G25" s="47">
        <f>F25</f>
        <v>2.8</v>
      </c>
      <c r="H25" s="45">
        <v>4</v>
      </c>
      <c r="I25" s="47">
        <f>H25</f>
        <v>4</v>
      </c>
      <c r="J25" s="45">
        <v>5.6</v>
      </c>
      <c r="K25" s="47">
        <f>J25</f>
        <v>5.6</v>
      </c>
      <c r="L25" s="45">
        <v>8</v>
      </c>
      <c r="M25" s="47">
        <f>L25</f>
        <v>8</v>
      </c>
      <c r="O25" s="16" t="s">
        <v>111</v>
      </c>
      <c r="S25" t="s">
        <v>112</v>
      </c>
      <c r="U25" t="s">
        <v>113</v>
      </c>
    </row>
    <row r="26" spans="1:21" x14ac:dyDescent="0.25">
      <c r="A26" s="2" t="s">
        <v>77</v>
      </c>
      <c r="B26">
        <f>(B8+B9+($L$40+$L$41)*B7)/B4</f>
        <v>0.8719226132093707</v>
      </c>
      <c r="C26" s="48">
        <f>(SQRT(SUMSQ(
(100*(C4/B4)),
(100*(SQRT(SUMSQ(C8,C9)))/(B8+B9))
)))
*0.01*((B8+B9)/B4)</f>
        <v>0.15635834348534794</v>
      </c>
      <c r="D26">
        <f>(D8+D9+($L$40+$L$41)*D7)/D4</f>
        <v>0.91228869537883028</v>
      </c>
      <c r="E26" s="48">
        <f>(SQRT(SUMSQ(
(100*(E4/D4)),
(100*(SQRT(SUMSQ(E8,E9)))/(D8+D9))
)))
*0.01*((D8+D9)/D4)</f>
        <v>0.15434364588592608</v>
      </c>
      <c r="F26">
        <f>(F8+F9+($L$40+$L$41)*F7)/F4</f>
        <v>0.96184794394850504</v>
      </c>
      <c r="G26" s="48">
        <f>(SQRT(SUMSQ(
(100*(G4/F4)),
(100*(SQRT(SUMSQ(G8,G9)))/(F8+F9))
)))
*0.01*((F8+F9)/F4)</f>
        <v>0.22325629868609714</v>
      </c>
      <c r="H26">
        <f>(H8+H9+($L$40+$L$41)*H7)/H4</f>
        <v>0.89476587243044725</v>
      </c>
      <c r="I26" s="48">
        <f>(SQRT(SUMSQ(
(100*(I4/H4)),
(100*(SQRT(SUMSQ(I8,I9)))/(H8+H9))
)))
*0.01*((H8+H9)/H4)</f>
        <v>0.12605503687443442</v>
      </c>
      <c r="J26">
        <f>(J8+J9+($L$40+$L$41)*J7)/J4</f>
        <v>0.86006646130075648</v>
      </c>
      <c r="K26" s="48">
        <f>(SQRT(SUMSQ(
(100*(K4/J4)),
(100*(SQRT(SUMSQ(K8,K9)))/(J8+J9))
)))
*0.01*((J8+J9)/J4)</f>
        <v>0.42743131688154351</v>
      </c>
      <c r="L26">
        <f>(L8+L9+($L$40+$L$41)*L7)/L4</f>
        <v>0.95002491205994977</v>
      </c>
      <c r="M26" s="48">
        <f>(SQRT(SUMSQ(
(100*(M4/L4)),
(100*(SQRT(SUMSQ(M8,M9)))/(L8+L9))
)))
*0.01*((L8+L9)/L4)</f>
        <v>0.18177655199671922</v>
      </c>
      <c r="O26">
        <f>(O8+O9+($L$40+$L$41)*O7)/O4</f>
        <v>0.90747826084662975</v>
      </c>
      <c r="P26" s="48">
        <f>(SQRT(SUMSQ(
(100*(P4/O4)),
(100*(SQRT(SUMSQ(P8,P9)))/(O8+O9))
)))
*0.01*((O8+O9)/O4)</f>
        <v>0.25398146762773199</v>
      </c>
      <c r="S26">
        <f>(L40+L41)*(O85+O86)/(O85+O86)</f>
        <v>3.6121694853275099E-2</v>
      </c>
    </row>
    <row r="27" spans="1:21" x14ac:dyDescent="0.25">
      <c r="A27" s="2" t="s">
        <v>45</v>
      </c>
      <c r="B27">
        <f>(B12+B14*$L$38)/B11</f>
        <v>0.96695026563047348</v>
      </c>
      <c r="C27" s="48">
        <f>(SQRT(SUMSQ(
(100*C11/B11),
(100*C12/B12)
)))
*0.01*(B12/B11)</f>
        <v>1.9284496131147816E-2</v>
      </c>
      <c r="D27">
        <f>(D12+D14*$L$38)/D11</f>
        <v>0.95927909678176204</v>
      </c>
      <c r="E27" s="48">
        <f>(SQRT(SUMSQ(
(100*E11/D11),
(100*E12/D12)
)))
*0.01*(D12/D11)</f>
        <v>3.077777821344271E-2</v>
      </c>
      <c r="F27">
        <f>(F12+F14*$L$38)/F11</f>
        <v>0.89787616459516895</v>
      </c>
      <c r="G27" s="48">
        <f>(SQRT(SUMSQ(
(100*G11/F11),
(100*G12/F12)
)))
*0.01*(F12/F11)</f>
        <v>4.2395926455926311E-2</v>
      </c>
      <c r="H27">
        <f>(H12+H14*$L$38)/H11</f>
        <v>0.91894234791072249</v>
      </c>
      <c r="I27" s="48">
        <f>(SQRT(SUMSQ(
(100*I11/H11),
(100*I12/H12)
)))
*0.01*(H12/H11)</f>
        <v>4.5454076232638807E-2</v>
      </c>
      <c r="J27">
        <f>(J12+J14*$L$38)/J11</f>
        <v>0.92532567385184128</v>
      </c>
      <c r="K27" s="48">
        <f>(SQRT(SUMSQ(
(100*K11/J11),
(100*K12/J12)
)))
*0.01*(J12/J11)</f>
        <v>8.7976689228007179E-2</v>
      </c>
      <c r="L27">
        <f>(L12+L14*$L$38)/L11</f>
        <v>0.89815536275314978</v>
      </c>
      <c r="M27" s="48">
        <f>(SQRT(SUMSQ(
(100*M11/L11),
(100*M12/L12)
)))
*0.01*(L12/L11)</f>
        <v>7.2864483029171798E-2</v>
      </c>
      <c r="O27">
        <f>(O12+O14*$L$38)/O11</f>
        <v>0.91657262958732366</v>
      </c>
      <c r="P27" s="48">
        <f>(SQRT(SUMSQ(
(100*P11/O11),
(100*P12/O12)
)))
*0.01*(O12/O11)</f>
        <v>6.4373660135620209E-2</v>
      </c>
      <c r="S27">
        <f>(L38)*(O85+O86)/(O85+O86)</f>
        <v>0.63137103859559141</v>
      </c>
    </row>
    <row r="28" spans="1:21" x14ac:dyDescent="0.25">
      <c r="A28" s="2" t="s">
        <v>46</v>
      </c>
      <c r="B28">
        <f>(B19+B20*$L$39)/B17</f>
        <v>0.96717733975185471</v>
      </c>
      <c r="C28" s="48">
        <f>(SQRT(SUMSQ(
(100*C17/B17),
(100*C19/B19)
)))
*0.01*(B19/B17)</f>
        <v>2.7821859524001399E-2</v>
      </c>
      <c r="D28">
        <f>(D19+D20*$L$39)/D17</f>
        <v>0.92452407645761858</v>
      </c>
      <c r="E28" s="48">
        <f>(SQRT(SUMSQ(
(100*E17/D17),
(100*E19/D19)
)))
*0.01*(D19/D17)</f>
        <v>3.7219016649316483E-2</v>
      </c>
      <c r="F28">
        <f>(F19+F20*$L$39)/F17</f>
        <v>0.91064624598156074</v>
      </c>
      <c r="G28" s="48">
        <f>(SQRT(SUMSQ(
(100*G17/F17),
(100*G19/F19)
)))
*0.01*(F19/F17)</f>
        <v>8.064441796692437E-2</v>
      </c>
      <c r="H28">
        <f>(H19+H20*$L$39)/H17</f>
        <v>0.85601416781139272</v>
      </c>
      <c r="I28" s="48">
        <f>(SQRT(SUMSQ(
(100*I17/H17),
(100*I19/H19)
)))
*0.01*(H19/H17)</f>
        <v>4.6713771897172691E-2</v>
      </c>
      <c r="J28">
        <f>(J19+J20*$L$39)/J17</f>
        <v>0.84860698282325575</v>
      </c>
      <c r="K28" s="48">
        <f>(SQRT(SUMSQ(
(100*K17/J17),
(100*K19/J19)
)))
*0.01*(J19/J17)</f>
        <v>5.4299125708176951E-2</v>
      </c>
      <c r="L28">
        <f>(L19+L20*$L$39)/L17</f>
        <v>0.74322729288415845</v>
      </c>
      <c r="M28" s="48">
        <f>(SQRT(SUMSQ(
(100*M17/L17),
(100*M19/L19)
)))
*0.01*(L19/L17)</f>
        <v>0.1211736663911797</v>
      </c>
      <c r="O28">
        <f>(O19+O20*$L$39)/O17</f>
        <v>0.81576558165814028</v>
      </c>
      <c r="P28" s="48">
        <f>(SQRT(SUMSQ(
(100*P17/O17),
(100*P19/O19)
)))
*0.01*(O19/O17)</f>
        <v>8.1476768886824938E-2</v>
      </c>
      <c r="S28">
        <f>(L39)*(O85+O86)/(O85+O86)</f>
        <v>0.33250726655113361</v>
      </c>
    </row>
    <row r="29" spans="1:21" x14ac:dyDescent="0.25">
      <c r="F29" t="s">
        <v>76</v>
      </c>
    </row>
    <row r="30" spans="1:21" x14ac:dyDescent="0.25">
      <c r="A30" t="s">
        <v>114</v>
      </c>
      <c r="B30" s="46">
        <v>1</v>
      </c>
      <c r="C30" s="47">
        <f>B30</f>
        <v>1</v>
      </c>
      <c r="D30" s="45">
        <v>2</v>
      </c>
      <c r="E30" s="47">
        <f>D30</f>
        <v>2</v>
      </c>
      <c r="F30" s="45">
        <v>2.8</v>
      </c>
      <c r="G30" s="47">
        <f>F30</f>
        <v>2.8</v>
      </c>
      <c r="H30" s="45">
        <v>4</v>
      </c>
      <c r="I30" s="47">
        <f>H30</f>
        <v>4</v>
      </c>
      <c r="J30" s="45">
        <v>5.6</v>
      </c>
      <c r="K30" s="47">
        <f>J30</f>
        <v>5.6</v>
      </c>
      <c r="L30" s="45">
        <v>8</v>
      </c>
      <c r="M30" s="47">
        <f>L30</f>
        <v>8</v>
      </c>
      <c r="O30" t="s">
        <v>115</v>
      </c>
      <c r="Q30" t="s">
        <v>116</v>
      </c>
    </row>
    <row r="31" spans="1:21" x14ac:dyDescent="0.25">
      <c r="A31" s="2" t="s">
        <v>77</v>
      </c>
      <c r="B31">
        <f>(B9+B8)/(B8+B9+B15+B16+B21+B22+(B20+B14+B7)*($L$40+$L$41))</f>
        <v>0.64238444821156793</v>
      </c>
      <c r="C31" s="48">
        <f>SQRT(SUMSQ((100*(SQRT(SUMSQ(C8,C9,C15,C16,C21,C22)))/(B8+B9+B15+B16+B21+B22)),(100*(SQRT(SUMSQ(C8,C9)))/(B9+B8))))*0.01*((B8+B9)/(B8+B9+B15+B16+B21+B22))</f>
        <v>8.3070422446187939E-2</v>
      </c>
      <c r="D31">
        <f>(D9+D8)/(D8+D9+D15+D16+D21+D22+(D20+D14+D7)*($L$40+$L$41))</f>
        <v>0.43204826047356076</v>
      </c>
      <c r="E31" s="48">
        <f>SQRT(SUMSQ((100*(SQRT(SUMSQ(E8,E9,E15,E16,E21,E22)))/(D8+D9+D15+D16+D21+D22)),(100*(SQRT(SUMSQ(E8,E9)))/(D9+D8))))*0.01*((D8+D9)/(D8+D9+D15+D16+D21+D22))</f>
        <v>6.1291396880154558E-2</v>
      </c>
      <c r="F31">
        <f>(F9+F8)/(F8+F9+F15+F16+F21+F22+(F20+F14+F7)*($L$40+$L$41))</f>
        <v>0.31097356353916872</v>
      </c>
      <c r="G31" s="48">
        <f>SQRT(SUMSQ((100*(SQRT(SUMSQ(G8,G9,G15,G16,G21,G22)))/(F8+F9+F15+F16+F21+F22)),(100*(SQRT(SUMSQ(G8,G9)))/(F9+F8))))*0.01*((F8+F9)/(F8+F9+F15+F16+F21+F22))</f>
        <v>5.9827683765978371E-2</v>
      </c>
      <c r="H31">
        <f>(H9+H8)/(H8+H9+H15+H16+H21+H22+(H20+H14+H7)*($L$40+$L$41))</f>
        <v>0.34695213341802911</v>
      </c>
      <c r="I31" s="48">
        <f>SQRT(SUMSQ((100*(SQRT(SUMSQ(I8,I9,I15,I16,I21,I22)))/(H8+H9+H15+H16+H21+H22)),(100*(SQRT(SUMSQ(I8,I9)))/(H9+H8))))*0.01*((H8+H9)/(H8+H9+H15+H16+H21+H22))</f>
        <v>4.8901548929706475E-2</v>
      </c>
      <c r="J31">
        <f>(J9+J8)/(J8+J9+J15+J16+J21+J22+(J20+J14+J7)*($L$40+$L$41))</f>
        <v>0.39283106938030293</v>
      </c>
      <c r="K31" s="48">
        <f>SQRT(SUMSQ((100*(SQRT(SUMSQ(K8,K9,K15,K16,K21,K22)))/(J8+J9+J15+J16+J21+J22)),(100*(SQRT(SUMSQ(K8,K9)))/(J9+J8))))*0.01*((J8+J9)/(J8+J9+J15+J16+J21+J22))</f>
        <v>0.15534366783960449</v>
      </c>
      <c r="L31">
        <f>(L9+L8)/(L8+L9+L15+L16+L21+L22+(L20+L14+L7)*($L$40+$L$41))</f>
        <v>0.26019115628523376</v>
      </c>
      <c r="M31" s="48">
        <f>SQRT(SUMSQ((100*(SQRT(SUMSQ(M8,M9,M15,M16,M21,M22)))/(L8+L9+L15+L16+L21+L22)),(100*(SQRT(SUMSQ(M8,M9)))/(L9+L8))))*0.01*((L8+L9)/(L8+L9+L15+L16+L21+L22))</f>
        <v>7.4512821682635039E-2</v>
      </c>
      <c r="O31">
        <f>(O9+O8)/(O8+O9+O15+O16+O21+O22+(O20+O14+O7)*($L$40+$L$41))</f>
        <v>0.32065922364398414</v>
      </c>
      <c r="P31" s="48">
        <f>SQRT(SUMSQ((100*(SQRT(SUMSQ(P8,P9,P15,P16,P21,P22)))/(O8+O9+O15+O16+O21+O22)),(100*(SQRT(SUMSQ(P8,P9)))/(O9+O8))))*0.01*((O8+O9)/(O8+O9+O15+O16+O21+O22))</f>
        <v>8.3801892676453688E-2</v>
      </c>
      <c r="Q31">
        <f>(O9+O8)/(O8+O9+O15+O16+O21+O22+(O20+O14+O7)*($L$40+$L$41)+(L40+L41)*(O85+O86))</f>
        <v>0.31073140559235873</v>
      </c>
    </row>
    <row r="32" spans="1:21" x14ac:dyDescent="0.25">
      <c r="A32" s="2" t="s">
        <v>45</v>
      </c>
      <c r="B32">
        <f>B12/(B5+B12+B18+(B7+B14+B20)*$L$38)</f>
        <v>0.99419403911452187</v>
      </c>
      <c r="C32" s="48">
        <f>(SQRT(SUMSQ((100*((SQRT(SUMSQ(C5,C12,C18)))/(B5+B12+B18))),(100*C12/B12))))*(C12/(C5+C12+C18))*0.01</f>
        <v>1.794301401917189E-2</v>
      </c>
      <c r="D32">
        <f>D12/(D5+D12+D18+(D7+D14+D20)*$L$38)</f>
        <v>0.98700137024440415</v>
      </c>
      <c r="E32" s="48">
        <f>(SQRT(SUMSQ((100*((SQRT(SUMSQ(E5,E12,E18)))/(D5+D12+D18))),(100*E12/D12))))*(E12/(E5+E12+E18))*0.01</f>
        <v>3.6163735084582795E-2</v>
      </c>
      <c r="F32">
        <f>F12/(F5+F12+F18+(F7+F14+F20)*$L$38)</f>
        <v>0.98424128604994987</v>
      </c>
      <c r="G32" s="48">
        <f>(SQRT(SUMSQ((100*((SQRT(SUMSQ(G5,G12,G18)))/(F5+F12+F18))),(100*G12/F12))))*(G12/(G5+G12+G18))*0.01</f>
        <v>1.6782608110345737E-2</v>
      </c>
      <c r="H32">
        <f>H12/(H5+H12+H18+(H7+H14+H20)*$L$38)</f>
        <v>0.97592802378538035</v>
      </c>
      <c r="I32" s="48">
        <f>(SQRT(SUMSQ((100*((SQRT(SUMSQ(I5,I12,I18)))/(H5+H12+H18))),(100*I12/H12))))*(I12/(I5+I12+I18))*0.01</f>
        <v>5.5020529800726789E-2</v>
      </c>
      <c r="J32">
        <f>J12/(J5+J12+J18+(J7+J14+J20)*$L$38)</f>
        <v>0.92297415641313252</v>
      </c>
      <c r="K32" s="48">
        <f>(SQRT(SUMSQ((100*((SQRT(SUMSQ(K5,K12,K18)))/(J5+J12+J18))),(100*K12/J12))))*(K12/(K5+K12+K18))*0.01</f>
        <v>7.7828090847364598E-2</v>
      </c>
      <c r="L32">
        <f>L12/(L5+L12+L18+(L7+L14+L20)*$L$38)</f>
        <v>0.84732375155212303</v>
      </c>
      <c r="M32" s="48">
        <f>(SQRT(SUMSQ((100*((SQRT(SUMSQ(M5,M12,M18)))/(L5+L12+L18))),(100*M12/L12))))*(M12/(M5+M12+M18))*0.01</f>
        <v>4.3905623760963873E-2</v>
      </c>
      <c r="N32" t="str">
        <f>IF(V45=M32,"yes","no")</f>
        <v>no</v>
      </c>
      <c r="O32">
        <f>O12/(O5+O12+O18+(O7+O14+O20)*$L$38)</f>
        <v>0.91879109176062845</v>
      </c>
      <c r="P32" s="48">
        <f>(SQRT(SUMSQ((100*((SQRT(SUMSQ(P5,P12,P18)))/(O5+O12+O18))),(100*P12/O12))))*(P12/(P5+P12+P18))*0.01</f>
        <v>5.1176234937460353E-2</v>
      </c>
      <c r="Q32">
        <f>O12/(O5+O12+O18+(O7+O14+O20)*$L$38+(L38*(O85+O86)))</f>
        <v>0.81457029979113893</v>
      </c>
    </row>
    <row r="33" spans="1:17" x14ac:dyDescent="0.25">
      <c r="A33" s="2" t="s">
        <v>46</v>
      </c>
      <c r="B33">
        <f>B19/(B6+B13+B19+(B7+B14+B20)*$L$39)</f>
        <v>0.94227116814194745</v>
      </c>
      <c r="C33" s="48">
        <f>(SQRT(SUMSQ((100*((SQRT(SUMSQ(C6,C13,C19)))/(B6+B13+B19))),(100*C19/B19))))*(C19/(C6+C13+C19))*0.01</f>
        <v>1.9209343960784317E-2</v>
      </c>
      <c r="D33">
        <f>D19/(D6+D13+D19+(D7+D14+D20)*$L$39)</f>
        <v>0.94204833649918696</v>
      </c>
      <c r="E33" s="48">
        <f>(SQRT(SUMSQ((100*((SQRT(SUMSQ(E6,E13,E19)))/(D6+D13+D19))),(100*E19/D19))))*(E19/(E6+E13+E19))*0.01</f>
        <v>2.1524873442839727E-2</v>
      </c>
      <c r="F33">
        <f>F19/(F6+F13+F19+(F7+F14+F20)*$L$39)</f>
        <v>0.90954737368635008</v>
      </c>
      <c r="G33" s="48">
        <f>(SQRT(SUMSQ((100*((SQRT(SUMSQ(G6,G13,G19)))/(F6+F13+F19))),(100*G19/F19))))*(G19/(G6+G13+G19))*0.01</f>
        <v>5.240957695856481E-2</v>
      </c>
      <c r="H33">
        <f>H19/(H6+H13+H19+(H7+H14+H20)*$L$39)</f>
        <v>0.90751197848260845</v>
      </c>
      <c r="I33" s="48">
        <f>(SQRT(SUMSQ((100*((SQRT(SUMSQ(I6,I13,I19)))/(H6+H13+H19))),(100*I19/H19))))*(I19/(I6+I13+I19))*0.01</f>
        <v>3.7683141182387733E-2</v>
      </c>
      <c r="J33">
        <f>J19/(J6+J13+J19+(J7+J14+J20)*$L$39)</f>
        <v>0.90403639401590952</v>
      </c>
      <c r="K33" s="48">
        <f>(SQRT(SUMSQ((100*((SQRT(SUMSQ(K6,K13,K19)))/(J6+J13+J19))),(100*K19/J19))))*(K19/(K6+K13+K19))*0.01</f>
        <v>4.5185263838393351E-2</v>
      </c>
      <c r="L33">
        <f>L19/(L6+L13+L19+(L7+L14+L20)*$L$39)</f>
        <v>0.88807572372344057</v>
      </c>
      <c r="M33" s="48">
        <f>(SQRT(SUMSQ((100*((SQRT(SUMSQ(M6,M13,M19)))/(L6+L13+L19))),(100*M19/L19))))*(M19/(M6+M13+M19))*0.01</f>
        <v>0.19358177220775644</v>
      </c>
      <c r="O33">
        <f>O19/(O6+O13+O19+(O7+O14+O20)*$L$39)</f>
        <v>0.9017067114842604</v>
      </c>
      <c r="P33" s="48">
        <f>(SQRT(SUMSQ((100*((SQRT(SUMSQ(P6,P13,P19)))/(O6+O13+O19))),(100*P19/O19))))*(P19/(P6+P13+P19))*0.01</f>
        <v>9.5470382879504434E-2</v>
      </c>
      <c r="Q33">
        <f>O19/(O6+O13+O19+(O7+O14+O20)*$L$39+L39*(O85+O86))</f>
        <v>0.83334063350020893</v>
      </c>
    </row>
    <row r="36" spans="1:17" x14ac:dyDescent="0.25">
      <c r="A36" s="41"/>
      <c r="B36" t="s">
        <v>62</v>
      </c>
    </row>
    <row r="37" spans="1:17" x14ac:dyDescent="0.25">
      <c r="A37" s="41"/>
      <c r="B37" t="s">
        <v>86</v>
      </c>
      <c r="C37" t="s">
        <v>63</v>
      </c>
      <c r="D37" t="s">
        <v>87</v>
      </c>
      <c r="E37" t="s">
        <v>63</v>
      </c>
      <c r="G37" t="s">
        <v>88</v>
      </c>
      <c r="I37" t="s">
        <v>89</v>
      </c>
      <c r="L37" t="str">
        <f>G37</f>
        <v>Cell Ratio</v>
      </c>
    </row>
    <row r="38" spans="1:17" x14ac:dyDescent="0.25">
      <c r="A38" s="41" t="s">
        <v>45</v>
      </c>
      <c r="B38">
        <f t="shared" ref="B38:E41" si="2">I83</f>
        <v>7.4061193444213629</v>
      </c>
      <c r="C38">
        <f t="shared" si="2"/>
        <v>0.95135947643049978</v>
      </c>
      <c r="D38">
        <f t="shared" si="2"/>
        <v>16.051899433643023</v>
      </c>
      <c r="E38">
        <f t="shared" si="2"/>
        <v>1.5708016036040451</v>
      </c>
      <c r="G38">
        <f>B38/SUM(B$38:B$41)</f>
        <v>0.63137103859559141</v>
      </c>
      <c r="H38">
        <f>SQRT((SQRT(SUMSQ(C$38:C$41))/SUM(B$38:B$41))^2+(C38/B38)^2)*G38</f>
        <v>0.14459215539749398</v>
      </c>
      <c r="I38">
        <f>D38/SUM(D$38:D$41)</f>
        <v>0.55350681749426367</v>
      </c>
      <c r="J38">
        <f>SQRT((SQRT(SUMSQ(E$38:E$41))/SUM(D$38:D$41))^2+(E38/D38)^2)*I38</f>
        <v>0.12175549208626163</v>
      </c>
      <c r="L38" s="42">
        <f>G38</f>
        <v>0.63137103859559141</v>
      </c>
      <c r="M38">
        <f>H38</f>
        <v>0.14459215539749398</v>
      </c>
    </row>
    <row r="39" spans="1:17" x14ac:dyDescent="0.25">
      <c r="A39" s="41" t="s">
        <v>46</v>
      </c>
      <c r="B39">
        <f t="shared" si="2"/>
        <v>3.9003824192550098</v>
      </c>
      <c r="C39">
        <f t="shared" si="2"/>
        <v>1.7101874629696003</v>
      </c>
      <c r="D39">
        <f t="shared" si="2"/>
        <v>10.712511963672704</v>
      </c>
      <c r="E39">
        <f t="shared" si="2"/>
        <v>2.0522826542252566</v>
      </c>
      <c r="G39">
        <f>B39/SUM(B$38:B$41)</f>
        <v>0.33250726655113361</v>
      </c>
      <c r="H39">
        <f>SQRT((SQRT(SUMSQ(C$38:C$41))/SUM(B$38:B$41))^2+(C39/B39)^2)*G39</f>
        <v>0.15883931611262442</v>
      </c>
      <c r="I39">
        <f>D39/SUM(D$38:D$41)</f>
        <v>0.36939232200484817</v>
      </c>
      <c r="J39">
        <f>SQRT((SQRT(SUMSQ(E$38:E$41))/SUM(D$38:D$41))^2+(E39/D39)^2)*I39</f>
        <v>0.10150785259178012</v>
      </c>
      <c r="L39" s="42">
        <f t="shared" ref="L39:M41" si="3">G39</f>
        <v>0.33250726655113361</v>
      </c>
      <c r="M39">
        <f t="shared" si="3"/>
        <v>0.15883931611262442</v>
      </c>
    </row>
    <row r="40" spans="1:17" x14ac:dyDescent="0.25">
      <c r="A40" s="41" t="s">
        <v>47</v>
      </c>
      <c r="B40">
        <f t="shared" si="2"/>
        <v>-0.54143345522831332</v>
      </c>
      <c r="C40">
        <f t="shared" si="2"/>
        <v>0.9703097937417432</v>
      </c>
      <c r="D40">
        <f t="shared" si="2"/>
        <v>0.46211370942500452</v>
      </c>
      <c r="E40">
        <f t="shared" si="2"/>
        <v>1.4483064227854097</v>
      </c>
      <c r="G40">
        <f>B40/SUM(B$38:B$41)</f>
        <v>-4.6157155598011507E-2</v>
      </c>
      <c r="H40">
        <f>SQRT((SQRT(SUMSQ(C$38:C$41))/SUM(B$38:B$41))^2+(C40/B40)^2)*G40</f>
        <v>-8.3180446555318102E-2</v>
      </c>
      <c r="I40">
        <f>D40/SUM(D$38:D$41)</f>
        <v>1.5934755240754238E-2</v>
      </c>
      <c r="J40">
        <f>SQRT((SQRT(SUMSQ(E$38:E$41))/SUM(D$38:D$41))^2+(E40/D40)^2)*I40</f>
        <v>5.0039540256528313E-2</v>
      </c>
      <c r="L40" s="42">
        <f t="shared" si="3"/>
        <v>-4.6157155598011507E-2</v>
      </c>
      <c r="M40">
        <f t="shared" si="3"/>
        <v>-8.3180446555318102E-2</v>
      </c>
    </row>
    <row r="41" spans="1:17" x14ac:dyDescent="0.25">
      <c r="A41" s="41" t="s">
        <v>48</v>
      </c>
      <c r="B41">
        <f t="shared" si="2"/>
        <v>0.96514877736471627</v>
      </c>
      <c r="C41">
        <f t="shared" si="2"/>
        <v>0.4180603489788185</v>
      </c>
      <c r="D41">
        <f t="shared" si="2"/>
        <v>1.7738393446137986</v>
      </c>
      <c r="E41">
        <f t="shared" si="2"/>
        <v>4.885092100714413</v>
      </c>
      <c r="G41">
        <f>B41/SUM(B$38:B$41)</f>
        <v>8.2278850451286606E-2</v>
      </c>
      <c r="H41">
        <f>SQRT((SQRT(SUMSQ(C$38:C$41))/SUM(B$38:B$41))^2+(C41/B41)^2)*G41</f>
        <v>3.8904106284497829E-2</v>
      </c>
      <c r="I41">
        <f>D41/SUM(D$38:D$41)</f>
        <v>6.1166105260133975E-2</v>
      </c>
      <c r="J41">
        <f>SQRT((SQRT(SUMSQ(E$38:E$41))/SUM(D$38:D$41))^2+(E41/D41)^2)*I41</f>
        <v>0.16887978641012591</v>
      </c>
      <c r="L41" s="42">
        <f t="shared" si="3"/>
        <v>8.2278850451286606E-2</v>
      </c>
      <c r="M41">
        <f t="shared" si="3"/>
        <v>3.8904106284497829E-2</v>
      </c>
    </row>
    <row r="44" spans="1:17" x14ac:dyDescent="0.25">
      <c r="A44" s="53" t="s">
        <v>75</v>
      </c>
      <c r="B44" s="54">
        <f>B25</f>
        <v>1</v>
      </c>
      <c r="C44" s="55">
        <f>D25</f>
        <v>2</v>
      </c>
      <c r="D44" s="55">
        <f>F25</f>
        <v>2.8</v>
      </c>
      <c r="E44" s="55">
        <f>H25</f>
        <v>4</v>
      </c>
      <c r="F44" s="55">
        <f>J25</f>
        <v>5.6</v>
      </c>
      <c r="G44" s="55">
        <f>L25</f>
        <v>8</v>
      </c>
    </row>
    <row r="45" spans="1:17" x14ac:dyDescent="0.25">
      <c r="A45" s="2" t="str">
        <f>A26</f>
        <v>Insulators</v>
      </c>
      <c r="B45" s="51">
        <f>B26*100</f>
        <v>87.192261320937064</v>
      </c>
      <c r="C45" s="52">
        <f>D26*100</f>
        <v>91.228869537883028</v>
      </c>
      <c r="D45" s="52">
        <f>F26*100</f>
        <v>96.184794394850499</v>
      </c>
      <c r="E45" s="52">
        <f>H26*100</f>
        <v>89.476587243044719</v>
      </c>
      <c r="F45" s="52">
        <f>J26*100</f>
        <v>86.006646130075652</v>
      </c>
      <c r="G45" s="52">
        <f>L26*100</f>
        <v>95.002491205994971</v>
      </c>
      <c r="I45" s="52"/>
      <c r="J45" s="52">
        <f>O26*100</f>
        <v>90.747826084662975</v>
      </c>
    </row>
    <row r="46" spans="1:17" x14ac:dyDescent="0.25">
      <c r="A46" s="2" t="str">
        <f>A27</f>
        <v>Cathode</v>
      </c>
      <c r="B46" s="51">
        <f>B27*100</f>
        <v>96.69502656304735</v>
      </c>
      <c r="C46" s="52">
        <f>D27*100</f>
        <v>95.927909678176206</v>
      </c>
      <c r="D46" s="52">
        <f>F27*100</f>
        <v>89.787616459516897</v>
      </c>
      <c r="E46" s="52">
        <f>H27*100</f>
        <v>91.89423479107225</v>
      </c>
      <c r="F46" s="52">
        <f>J27*100</f>
        <v>92.532567385184123</v>
      </c>
      <c r="G46" s="52">
        <f>L27*100</f>
        <v>89.815536275314983</v>
      </c>
      <c r="J46" s="52">
        <f>O27*100</f>
        <v>91.65726295873236</v>
      </c>
      <c r="L46">
        <f>0.87*J46</f>
        <v>79.741818774097155</v>
      </c>
    </row>
    <row r="47" spans="1:17" x14ac:dyDescent="0.25">
      <c r="A47" s="2" t="str">
        <f>A28</f>
        <v>Anode</v>
      </c>
      <c r="B47" s="51">
        <f>B28*100</f>
        <v>96.717733975185467</v>
      </c>
      <c r="C47" s="52">
        <f>D28*100</f>
        <v>92.452407645761852</v>
      </c>
      <c r="D47" s="52">
        <f>F28*100</f>
        <v>91.064624598156072</v>
      </c>
      <c r="E47" s="52">
        <f>H28*100</f>
        <v>85.601416781139278</v>
      </c>
      <c r="F47" s="52">
        <f>J28*100</f>
        <v>84.860698282325572</v>
      </c>
      <c r="G47" s="52">
        <f>L28*100</f>
        <v>74.322729288415843</v>
      </c>
      <c r="J47" s="52">
        <f>O28*100</f>
        <v>81.576558165814035</v>
      </c>
    </row>
    <row r="48" spans="1:17" x14ac:dyDescent="0.25">
      <c r="B48" s="52"/>
      <c r="C48" s="52"/>
      <c r="D48" s="52"/>
      <c r="E48" s="52"/>
      <c r="F48" s="52"/>
      <c r="G48" s="52"/>
    </row>
    <row r="49" spans="1:12" x14ac:dyDescent="0.25">
      <c r="A49" s="53" t="s">
        <v>78</v>
      </c>
      <c r="B49" s="54">
        <f>B30</f>
        <v>1</v>
      </c>
      <c r="C49" s="55">
        <f>D30</f>
        <v>2</v>
      </c>
      <c r="D49" s="55">
        <f>F30</f>
        <v>2.8</v>
      </c>
      <c r="E49" s="55">
        <f>H30</f>
        <v>4</v>
      </c>
      <c r="F49" s="55">
        <f>J30</f>
        <v>5.6</v>
      </c>
      <c r="G49" s="55">
        <f>L30</f>
        <v>8</v>
      </c>
    </row>
    <row r="50" spans="1:12" x14ac:dyDescent="0.25">
      <c r="A50" s="2" t="str">
        <f>A31</f>
        <v>Insulators</v>
      </c>
      <c r="B50" s="51">
        <f>B31*100</f>
        <v>64.23844482115679</v>
      </c>
      <c r="C50" s="52">
        <f>D31*100</f>
        <v>43.204826047356079</v>
      </c>
      <c r="D50" s="52">
        <f>F31*100</f>
        <v>31.097356353916872</v>
      </c>
      <c r="E50" s="52">
        <f>H31*100</f>
        <v>34.695213341802912</v>
      </c>
      <c r="F50" s="52">
        <f>J31*100</f>
        <v>39.283106938030294</v>
      </c>
      <c r="G50" s="52">
        <f>L31*100</f>
        <v>26.019115628523377</v>
      </c>
      <c r="J50" s="52">
        <f>O31*100</f>
        <v>32.065922364398411</v>
      </c>
    </row>
    <row r="51" spans="1:12" x14ac:dyDescent="0.25">
      <c r="A51" s="2" t="str">
        <f>A32</f>
        <v>Cathode</v>
      </c>
      <c r="B51" s="51">
        <f t="shared" ref="B51:B52" si="4">B32*100</f>
        <v>99.419403911452193</v>
      </c>
      <c r="C51" s="52">
        <f>D32*100</f>
        <v>98.700137024440409</v>
      </c>
      <c r="D51" s="52">
        <f>F32*100</f>
        <v>98.424128604994991</v>
      </c>
      <c r="E51" s="52">
        <f>H32*100</f>
        <v>97.592802378538039</v>
      </c>
      <c r="F51" s="52">
        <f>J32*100</f>
        <v>92.29741564131325</v>
      </c>
      <c r="G51" s="52">
        <f>L32*100</f>
        <v>84.73237515521231</v>
      </c>
      <c r="J51" s="52">
        <f>O32*100</f>
        <v>91.87910917606284</v>
      </c>
      <c r="L51">
        <f>0.87*J51</f>
        <v>79.934824983174664</v>
      </c>
    </row>
    <row r="52" spans="1:12" x14ac:dyDescent="0.25">
      <c r="A52" s="2" t="str">
        <f>A33</f>
        <v>Anode</v>
      </c>
      <c r="B52" s="51">
        <f t="shared" si="4"/>
        <v>94.227116814194744</v>
      </c>
      <c r="C52" s="52">
        <f>D33*100</f>
        <v>94.204833649918697</v>
      </c>
      <c r="D52" s="52">
        <f>F33*100</f>
        <v>90.954737368635008</v>
      </c>
      <c r="E52" s="52">
        <f>H33*100</f>
        <v>90.751197848260844</v>
      </c>
      <c r="F52" s="52">
        <f>J33*100</f>
        <v>90.403639401590951</v>
      </c>
      <c r="G52" s="52">
        <f>L33*100</f>
        <v>88.807572372344055</v>
      </c>
      <c r="J52" s="52">
        <f>O33*100</f>
        <v>90.170671148426038</v>
      </c>
    </row>
    <row r="54" spans="1:12" x14ac:dyDescent="0.25">
      <c r="A54" s="53" t="s">
        <v>117</v>
      </c>
      <c r="B54" s="56">
        <f>C25</f>
        <v>1</v>
      </c>
      <c r="C54" s="56">
        <f>E25</f>
        <v>2</v>
      </c>
      <c r="D54" s="56">
        <f>G25</f>
        <v>2.8</v>
      </c>
      <c r="E54" s="56">
        <f>I25</f>
        <v>4</v>
      </c>
      <c r="F54" s="56">
        <f>K25</f>
        <v>5.6</v>
      </c>
      <c r="G54" s="56">
        <f>M25</f>
        <v>8</v>
      </c>
    </row>
    <row r="55" spans="1:12" x14ac:dyDescent="0.25">
      <c r="A55" s="2" t="str">
        <f>A26&amp;"-err"</f>
        <v>Insulators-err</v>
      </c>
      <c r="B55" s="40">
        <f>C26*100</f>
        <v>15.635834348534793</v>
      </c>
      <c r="C55" s="40">
        <f>E26*100</f>
        <v>15.434364588592608</v>
      </c>
      <c r="D55" s="40">
        <f>G26*100</f>
        <v>22.325629868609713</v>
      </c>
      <c r="E55" s="40">
        <f>I26*100</f>
        <v>12.605503687443441</v>
      </c>
      <c r="F55" s="40">
        <f>K26*100</f>
        <v>42.743131688154349</v>
      </c>
      <c r="G55" s="40">
        <f>M26*100</f>
        <v>18.177655199671921</v>
      </c>
    </row>
    <row r="56" spans="1:12" x14ac:dyDescent="0.25">
      <c r="A56" s="2" t="str">
        <f>A27&amp;"-err"</f>
        <v>Cathode-err</v>
      </c>
      <c r="B56" s="40">
        <f t="shared" ref="B56:B57" si="5">C27*100</f>
        <v>1.9284496131147817</v>
      </c>
      <c r="C56" s="40">
        <f>E27*100</f>
        <v>3.077777821344271</v>
      </c>
      <c r="D56" s="40">
        <f>G27*100</f>
        <v>4.2395926455926309</v>
      </c>
      <c r="E56" s="40">
        <f>I27*100</f>
        <v>4.5454076232638805</v>
      </c>
      <c r="F56" s="40">
        <f>K27*100</f>
        <v>8.7976689228007174</v>
      </c>
      <c r="G56" s="40">
        <f>M27*100</f>
        <v>7.2864483029171794</v>
      </c>
    </row>
    <row r="57" spans="1:12" x14ac:dyDescent="0.25">
      <c r="A57" s="2" t="str">
        <f>A28&amp;"-err"</f>
        <v>Anode-err</v>
      </c>
      <c r="B57" s="40">
        <f t="shared" si="5"/>
        <v>2.7821859524001398</v>
      </c>
      <c r="C57" s="40">
        <f>E28*100</f>
        <v>3.7219016649316483</v>
      </c>
      <c r="D57" s="40">
        <f>G28*100</f>
        <v>8.0644417966924369</v>
      </c>
      <c r="E57" s="40">
        <f>I28*100</f>
        <v>4.6713771897172691</v>
      </c>
      <c r="F57" s="40">
        <f>K28*100</f>
        <v>5.4299125708176952</v>
      </c>
      <c r="G57" s="40">
        <f>M28*100</f>
        <v>12.11736663911797</v>
      </c>
    </row>
    <row r="59" spans="1:12" x14ac:dyDescent="0.25">
      <c r="A59" s="53" t="s">
        <v>118</v>
      </c>
      <c r="B59" s="56">
        <f>C30</f>
        <v>1</v>
      </c>
      <c r="C59" s="56">
        <f>E30</f>
        <v>2</v>
      </c>
      <c r="D59" s="56">
        <f>G30</f>
        <v>2.8</v>
      </c>
      <c r="E59" s="56">
        <f>I30</f>
        <v>4</v>
      </c>
      <c r="F59" s="56">
        <f>K30</f>
        <v>5.6</v>
      </c>
      <c r="G59" s="56">
        <f>M30</f>
        <v>8</v>
      </c>
    </row>
    <row r="60" spans="1:12" x14ac:dyDescent="0.25">
      <c r="A60" s="2" t="str">
        <f>A31&amp;"-err"</f>
        <v>Insulators-err</v>
      </c>
      <c r="B60" s="40">
        <f>C31*100</f>
        <v>8.3070422446187937</v>
      </c>
      <c r="C60" s="40">
        <f>E31*100</f>
        <v>6.1291396880154556</v>
      </c>
      <c r="D60" s="40">
        <f>G31*100</f>
        <v>5.9827683765978374</v>
      </c>
      <c r="E60" s="40">
        <f>I31*100</f>
        <v>4.8901548929706475</v>
      </c>
      <c r="F60" s="40">
        <f>K31*100</f>
        <v>15.534366783960449</v>
      </c>
      <c r="G60" s="40">
        <f>M31*100</f>
        <v>7.4512821682635035</v>
      </c>
    </row>
    <row r="61" spans="1:12" x14ac:dyDescent="0.25">
      <c r="A61" s="2" t="str">
        <f>A32&amp;"-err"</f>
        <v>Cathode-err</v>
      </c>
      <c r="B61" s="40">
        <f t="shared" ref="B61:B62" si="6">C32*100</f>
        <v>1.794301401917189</v>
      </c>
      <c r="C61" s="40">
        <f>E32*100</f>
        <v>3.6163735084582793</v>
      </c>
      <c r="D61" s="40">
        <f>G32*100</f>
        <v>1.6782608110345736</v>
      </c>
      <c r="E61" s="40">
        <f>I32*100</f>
        <v>5.502052980072679</v>
      </c>
      <c r="F61" s="40">
        <f>K32*100</f>
        <v>7.7828090847364599</v>
      </c>
      <c r="G61" s="40">
        <f>M32*100</f>
        <v>4.390562376096387</v>
      </c>
    </row>
    <row r="62" spans="1:12" x14ac:dyDescent="0.25">
      <c r="A62" s="2" t="str">
        <f>A33&amp;"-err"</f>
        <v>Anode-err</v>
      </c>
      <c r="B62" s="40">
        <f t="shared" si="6"/>
        <v>1.9209343960784317</v>
      </c>
      <c r="C62" s="40">
        <f>E33*100</f>
        <v>2.1524873442839727</v>
      </c>
      <c r="D62" s="40">
        <f>G33*100</f>
        <v>5.2409576958564807</v>
      </c>
      <c r="E62" s="40">
        <f>I33*100</f>
        <v>3.7683141182387732</v>
      </c>
      <c r="F62" s="40">
        <f>K33*100</f>
        <v>4.518526383839335</v>
      </c>
      <c r="G62" s="40">
        <f>M33*100</f>
        <v>19.358177220775644</v>
      </c>
    </row>
    <row r="64" spans="1:12" x14ac:dyDescent="0.25">
      <c r="A64" s="2" t="str">
        <f t="array" ref="A64:D70">TRANSPOSE(A44:G47)</f>
        <v>Grade</v>
      </c>
      <c r="B64" t="str">
        <v>Insulators</v>
      </c>
      <c r="C64" t="str">
        <v>Cathode</v>
      </c>
      <c r="D64" t="str">
        <v>Anode</v>
      </c>
      <c r="E64" t="str">
        <f t="array" ref="E64:G70">TRANSPOSE(A55:G57)</f>
        <v>Insulators-err</v>
      </c>
      <c r="F64" t="str">
        <v>Cathode-err</v>
      </c>
      <c r="G64" t="str">
        <v>Anode-err</v>
      </c>
      <c r="I64" t="s">
        <v>227</v>
      </c>
      <c r="J64" t="s">
        <v>77</v>
      </c>
      <c r="K64" t="s">
        <v>45</v>
      </c>
      <c r="L64" t="s">
        <v>46</v>
      </c>
    </row>
    <row r="65" spans="1:12" x14ac:dyDescent="0.25">
      <c r="A65" s="2">
        <v>1</v>
      </c>
      <c r="B65" s="40">
        <v>87.192261320937064</v>
      </c>
      <c r="C65" s="40">
        <v>96.69502656304735</v>
      </c>
      <c r="D65" s="40">
        <v>96.717733975185467</v>
      </c>
      <c r="E65" s="40">
        <v>15.635834348534793</v>
      </c>
      <c r="F65" s="40">
        <v>1.9284496131147817</v>
      </c>
      <c r="G65" s="40">
        <v>2.7821859524001398</v>
      </c>
      <c r="I65" s="96" t="s">
        <v>224</v>
      </c>
      <c r="J65" t="str">
        <f>ROUND(B65,1)&amp;" ± "&amp;ROUND(E65,1)</f>
        <v>87.2 ± 15.6</v>
      </c>
      <c r="K65" t="str">
        <f>ROUND(C65,1)&amp;" ± "&amp;ROUND(F65,1)</f>
        <v>96.7 ± 1.9</v>
      </c>
      <c r="L65" t="str">
        <f>ROUND(D65,1)&amp;" ± "&amp;ROUND(G65,1)</f>
        <v>96.7 ± 2.8</v>
      </c>
    </row>
    <row r="66" spans="1:12" x14ac:dyDescent="0.25">
      <c r="A66" s="2">
        <v>2</v>
      </c>
      <c r="B66" s="40">
        <v>91.228869537883028</v>
      </c>
      <c r="C66" s="40">
        <v>95.927909678176206</v>
      </c>
      <c r="D66" s="40">
        <v>92.452407645761852</v>
      </c>
      <c r="E66" s="40">
        <v>15.434364588592608</v>
      </c>
      <c r="F66" s="40">
        <v>3.077777821344271</v>
      </c>
      <c r="G66" s="40">
        <v>3.7219016649316483</v>
      </c>
      <c r="I66" s="44" t="s">
        <v>223</v>
      </c>
      <c r="J66" t="str">
        <f t="shared" ref="J66:L70" si="7">ROUND(B66,1)&amp;" ± "&amp;ROUND(E66,1)</f>
        <v>91.2 ± 15.4</v>
      </c>
      <c r="K66" t="str">
        <f t="shared" si="7"/>
        <v>95.9 ± 3.1</v>
      </c>
      <c r="L66" t="str">
        <f t="shared" si="7"/>
        <v>92.5 ± 3.7</v>
      </c>
    </row>
    <row r="67" spans="1:12" x14ac:dyDescent="0.25">
      <c r="A67" s="2">
        <v>2.8</v>
      </c>
      <c r="B67" s="40">
        <v>96.184794394850499</v>
      </c>
      <c r="C67" s="40">
        <v>89.787616459516897</v>
      </c>
      <c r="D67" s="40">
        <v>91.064624598156072</v>
      </c>
      <c r="E67" s="40">
        <v>22.325629868609713</v>
      </c>
      <c r="F67" s="40">
        <v>4.2395926455926309</v>
      </c>
      <c r="G67" s="40">
        <v>8.0644417966924369</v>
      </c>
      <c r="I67" s="44" t="s">
        <v>222</v>
      </c>
      <c r="J67" t="str">
        <f t="shared" si="7"/>
        <v>96.2 ± 22.3</v>
      </c>
      <c r="K67" t="str">
        <f t="shared" si="7"/>
        <v>89.8 ± 4.2</v>
      </c>
      <c r="L67" t="str">
        <f t="shared" si="7"/>
        <v>91.1 ± 8.1</v>
      </c>
    </row>
    <row r="68" spans="1:12" x14ac:dyDescent="0.25">
      <c r="A68" s="2">
        <v>4</v>
      </c>
      <c r="B68" s="40">
        <v>89.476587243044719</v>
      </c>
      <c r="C68" s="40">
        <v>91.89423479107225</v>
      </c>
      <c r="D68" s="40">
        <v>85.601416781139278</v>
      </c>
      <c r="E68" s="40">
        <v>12.605503687443441</v>
      </c>
      <c r="F68" s="40">
        <v>4.5454076232638805</v>
      </c>
      <c r="G68" s="40">
        <v>4.6713771897172691</v>
      </c>
      <c r="I68" s="44" t="s">
        <v>221</v>
      </c>
      <c r="J68" t="str">
        <f t="shared" si="7"/>
        <v>89.5 ± 12.6</v>
      </c>
      <c r="K68" t="str">
        <f t="shared" si="7"/>
        <v>91.9 ± 4.5</v>
      </c>
      <c r="L68" t="str">
        <f t="shared" si="7"/>
        <v>85.6 ± 4.7</v>
      </c>
    </row>
    <row r="69" spans="1:12" x14ac:dyDescent="0.25">
      <c r="A69" s="2">
        <v>5.6</v>
      </c>
      <c r="B69" s="40">
        <v>86.006646130075652</v>
      </c>
      <c r="C69" s="40">
        <v>92.532567385184123</v>
      </c>
      <c r="D69" s="40">
        <v>84.860698282325572</v>
      </c>
      <c r="E69" s="40">
        <v>42.743131688154349</v>
      </c>
      <c r="F69" s="40">
        <v>8.7976689228007174</v>
      </c>
      <c r="G69" s="40">
        <v>5.4299125708176952</v>
      </c>
      <c r="I69" s="44" t="s">
        <v>220</v>
      </c>
      <c r="J69" t="str">
        <f t="shared" si="7"/>
        <v>86 ± 42.7</v>
      </c>
      <c r="K69" t="str">
        <f t="shared" si="7"/>
        <v>92.5 ± 8.8</v>
      </c>
      <c r="L69" t="str">
        <f t="shared" si="7"/>
        <v>84.9 ± 5.4</v>
      </c>
    </row>
    <row r="70" spans="1:12" x14ac:dyDescent="0.25">
      <c r="A70" s="2">
        <v>8</v>
      </c>
      <c r="B70" s="40">
        <v>95.002491205994971</v>
      </c>
      <c r="C70" s="40">
        <v>89.815536275314983</v>
      </c>
      <c r="D70" s="40">
        <v>74.322729288415843</v>
      </c>
      <c r="E70" s="40">
        <v>18.177655199671921</v>
      </c>
      <c r="F70" s="40">
        <v>7.2864483029171794</v>
      </c>
      <c r="G70" s="40">
        <v>12.11736663911797</v>
      </c>
      <c r="I70" s="44" t="s">
        <v>219</v>
      </c>
      <c r="J70" t="str">
        <f t="shared" si="7"/>
        <v>95 ± 18.2</v>
      </c>
      <c r="K70" t="str">
        <f t="shared" si="7"/>
        <v>89.8 ± 7.3</v>
      </c>
      <c r="L70" t="str">
        <f t="shared" si="7"/>
        <v>74.3 ± 12.1</v>
      </c>
    </row>
    <row r="72" spans="1:12" x14ac:dyDescent="0.25">
      <c r="A72" s="2" t="str">
        <f t="array" ref="A72:D78">TRANSPOSE(A49:G52)</f>
        <v>Recovery</v>
      </c>
      <c r="B72" t="str">
        <v>Insulators</v>
      </c>
      <c r="C72" t="str">
        <v>Cathode</v>
      </c>
      <c r="D72" t="str">
        <v>Anode</v>
      </c>
      <c r="E72" t="str">
        <f t="array" ref="E72:G78">TRANSPOSE(A60:G62)</f>
        <v>Insulators-err</v>
      </c>
      <c r="F72" t="str">
        <v>Cathode-err</v>
      </c>
      <c r="G72" t="str">
        <v>Anode-err</v>
      </c>
      <c r="I72" t="s">
        <v>227</v>
      </c>
      <c r="J72" t="s">
        <v>77</v>
      </c>
      <c r="K72" t="s">
        <v>45</v>
      </c>
      <c r="L72" t="s">
        <v>46</v>
      </c>
    </row>
    <row r="73" spans="1:12" x14ac:dyDescent="0.25">
      <c r="A73" s="2">
        <v>1</v>
      </c>
      <c r="B73" s="40">
        <v>64.23844482115679</v>
      </c>
      <c r="C73" s="40">
        <v>99.419403911452193</v>
      </c>
      <c r="D73" s="40">
        <v>94.227116814194744</v>
      </c>
      <c r="E73" s="40">
        <v>8.3070422446187937</v>
      </c>
      <c r="F73" s="40">
        <v>1.794301401917189</v>
      </c>
      <c r="G73" s="40">
        <v>1.9209343960784317</v>
      </c>
      <c r="I73" s="96" t="s">
        <v>224</v>
      </c>
      <c r="J73" t="str">
        <f>ROUND(B73,1)&amp;" ± "&amp;ROUND(E73,1)</f>
        <v>64.2 ± 8.3</v>
      </c>
      <c r="K73" t="str">
        <f>ROUND(C73,1)&amp;" ± "&amp;ROUND(F73,1)</f>
        <v>99.4 ± 1.8</v>
      </c>
      <c r="L73" t="str">
        <f>ROUND(D73,1)&amp;" ± "&amp;ROUND(G73,1)</f>
        <v>94.2 ± 1.9</v>
      </c>
    </row>
    <row r="74" spans="1:12" x14ac:dyDescent="0.25">
      <c r="A74" s="2">
        <v>2</v>
      </c>
      <c r="B74" s="40">
        <v>43.204826047356079</v>
      </c>
      <c r="C74" s="40">
        <v>98.700137024440409</v>
      </c>
      <c r="D74" s="40">
        <v>94.204833649918697</v>
      </c>
      <c r="E74" s="40">
        <v>6.1291396880154556</v>
      </c>
      <c r="F74" s="40">
        <v>3.6163735084582793</v>
      </c>
      <c r="G74" s="40">
        <v>2.1524873442839727</v>
      </c>
      <c r="I74" s="44" t="s">
        <v>223</v>
      </c>
      <c r="J74" t="str">
        <f t="shared" ref="J74:L78" si="8">ROUND(B74,1)&amp;" ± "&amp;ROUND(E74,1)</f>
        <v>43.2 ± 6.1</v>
      </c>
      <c r="K74" t="str">
        <f t="shared" si="8"/>
        <v>98.7 ± 3.6</v>
      </c>
      <c r="L74" t="str">
        <f t="shared" si="8"/>
        <v>94.2 ± 2.2</v>
      </c>
    </row>
    <row r="75" spans="1:12" x14ac:dyDescent="0.25">
      <c r="A75" s="2">
        <v>2.8</v>
      </c>
      <c r="B75" s="40">
        <v>31.097356353916872</v>
      </c>
      <c r="C75" s="40">
        <v>98.424128604994991</v>
      </c>
      <c r="D75" s="40">
        <v>90.954737368635008</v>
      </c>
      <c r="E75" s="40">
        <v>5.9827683765978374</v>
      </c>
      <c r="F75" s="40">
        <v>1.6782608110345736</v>
      </c>
      <c r="G75" s="40">
        <v>5.2409576958564807</v>
      </c>
      <c r="I75" s="44" t="s">
        <v>222</v>
      </c>
      <c r="J75" t="str">
        <f t="shared" si="8"/>
        <v>31.1 ± 6</v>
      </c>
      <c r="K75" t="str">
        <f t="shared" si="8"/>
        <v>98.4 ± 1.7</v>
      </c>
      <c r="L75" t="str">
        <f t="shared" si="8"/>
        <v>91 ± 5.2</v>
      </c>
    </row>
    <row r="76" spans="1:12" x14ac:dyDescent="0.25">
      <c r="A76" s="2">
        <v>4</v>
      </c>
      <c r="B76" s="40">
        <v>34.695213341802912</v>
      </c>
      <c r="C76" s="40">
        <v>97.592802378538039</v>
      </c>
      <c r="D76" s="40">
        <v>90.751197848260844</v>
      </c>
      <c r="E76" s="40">
        <v>4.8901548929706475</v>
      </c>
      <c r="F76" s="40">
        <v>5.502052980072679</v>
      </c>
      <c r="G76" s="40">
        <v>3.7683141182387732</v>
      </c>
      <c r="I76" s="44" t="s">
        <v>221</v>
      </c>
      <c r="J76" t="str">
        <f t="shared" si="8"/>
        <v>34.7 ± 4.9</v>
      </c>
      <c r="K76" t="str">
        <f t="shared" si="8"/>
        <v>97.6 ± 5.5</v>
      </c>
      <c r="L76" t="str">
        <f t="shared" si="8"/>
        <v>90.8 ± 3.8</v>
      </c>
    </row>
    <row r="77" spans="1:12" x14ac:dyDescent="0.25">
      <c r="A77" s="2">
        <v>5.6</v>
      </c>
      <c r="B77" s="40">
        <v>39.283106938030294</v>
      </c>
      <c r="C77" s="40">
        <v>92.29741564131325</v>
      </c>
      <c r="D77" s="40">
        <v>90.403639401590951</v>
      </c>
      <c r="E77" s="40">
        <v>15.534366783960449</v>
      </c>
      <c r="F77" s="40">
        <v>7.7828090847364599</v>
      </c>
      <c r="G77" s="40">
        <v>4.518526383839335</v>
      </c>
      <c r="I77" s="44" t="s">
        <v>220</v>
      </c>
      <c r="J77" t="str">
        <f t="shared" si="8"/>
        <v>39.3 ± 15.5</v>
      </c>
      <c r="K77" t="str">
        <f t="shared" si="8"/>
        <v>92.3 ± 7.8</v>
      </c>
      <c r="L77" t="str">
        <f t="shared" si="8"/>
        <v>90.4 ± 4.5</v>
      </c>
    </row>
    <row r="78" spans="1:12" x14ac:dyDescent="0.25">
      <c r="A78" s="2">
        <v>8</v>
      </c>
      <c r="B78" s="40">
        <v>26.019115628523377</v>
      </c>
      <c r="C78" s="40">
        <v>84.73237515521231</v>
      </c>
      <c r="D78" s="40">
        <v>88.807572372344055</v>
      </c>
      <c r="E78" s="40">
        <v>7.4512821682635035</v>
      </c>
      <c r="F78" s="40">
        <v>4.390562376096387</v>
      </c>
      <c r="G78" s="40">
        <v>19.358177220775644</v>
      </c>
      <c r="I78" s="44" t="s">
        <v>219</v>
      </c>
      <c r="J78" t="str">
        <f t="shared" si="8"/>
        <v>26 ± 7.5</v>
      </c>
      <c r="K78" t="str">
        <f t="shared" si="8"/>
        <v>84.7 ± 4.4</v>
      </c>
      <c r="L78" t="str">
        <f t="shared" si="8"/>
        <v>88.8 ± 19.4</v>
      </c>
    </row>
    <row r="82" spans="1:23" ht="15.75" thickBot="1" x14ac:dyDescent="0.3">
      <c r="B82" t="s">
        <v>57</v>
      </c>
      <c r="C82" t="s">
        <v>37</v>
      </c>
      <c r="D82" t="s">
        <v>58</v>
      </c>
      <c r="E82" s="16" t="s">
        <v>59</v>
      </c>
      <c r="F82" t="s">
        <v>60</v>
      </c>
      <c r="G82" t="s">
        <v>61</v>
      </c>
      <c r="I82" t="s">
        <v>119</v>
      </c>
      <c r="J82" t="s">
        <v>63</v>
      </c>
      <c r="K82" t="s">
        <v>64</v>
      </c>
      <c r="L82" t="s">
        <v>63</v>
      </c>
      <c r="N82" t="s">
        <v>120</v>
      </c>
      <c r="O82">
        <f>O3</f>
        <v>75.288989287380019</v>
      </c>
      <c r="Q82" t="s">
        <v>121</v>
      </c>
    </row>
    <row r="83" spans="1:23" ht="15.75" thickBot="1" x14ac:dyDescent="0.3">
      <c r="A83" s="2" t="str">
        <f>'R0030_LFP_Liberation'!A18</f>
        <v>Cathode</v>
      </c>
      <c r="B83">
        <f>'R0030_LFP_Liberation'!D18</f>
        <v>0.4141621362874825</v>
      </c>
      <c r="C83">
        <f>B83*100</f>
        <v>41.416213628748253</v>
      </c>
      <c r="D83">
        <f>'R0030_LFP_Liberation'!F18*100</f>
        <v>0.31727983618837174</v>
      </c>
      <c r="E83">
        <f>C83</f>
        <v>41.416213628748253</v>
      </c>
      <c r="F83">
        <f>O5+O12+O18</f>
        <v>34.01009428432689</v>
      </c>
      <c r="G83">
        <f>SQRT(SUMSQ(C5,E5,G5,I5,K5,M5,C12,E12,G12,I12,K12,M12,C18,E18,G18,I18,K18,M18))</f>
        <v>0.89689372778629384</v>
      </c>
      <c r="I83">
        <f>E83-F83</f>
        <v>7.4061193444213629</v>
      </c>
      <c r="J83">
        <f>SQRT(SUMSQ(D83,G83))</f>
        <v>0.95135947643049978</v>
      </c>
      <c r="K83">
        <f>(E83/$E$91)*100-F83</f>
        <v>16.051899433643023</v>
      </c>
      <c r="L83">
        <f>SQRT((100*SQRT((D83/E83)^2+($E$92/$E$91)^2))^2+G83^2)</f>
        <v>1.5708016036040451</v>
      </c>
      <c r="N83" t="s">
        <v>56</v>
      </c>
      <c r="O83" s="33">
        <f>O5+O6+O8+O9+O12+O13+O15+O16+O18+O19+O21+O22</f>
        <v>70.999635548645472</v>
      </c>
      <c r="Q83">
        <f>K83/$K$91</f>
        <v>0.55350681749426367</v>
      </c>
      <c r="R83">
        <f>SQRT((SQRT(SUMSQ(L$83:L$86))/SUM(K$83:K$86))^2+(L83/K83)^2)*Q83</f>
        <v>0.12175549208626163</v>
      </c>
      <c r="U83" s="79">
        <f>I83/SUM(I$83:I$86)</f>
        <v>0.63137103859559141</v>
      </c>
      <c r="W83" s="79">
        <f>K83/SUM(K$83:K$86)</f>
        <v>0.55350681749426367</v>
      </c>
    </row>
    <row r="84" spans="1:23" x14ac:dyDescent="0.25">
      <c r="A84" s="2" t="str">
        <f>'R0030_LFP_Liberation'!A19</f>
        <v>Anode</v>
      </c>
      <c r="B84">
        <f>'R0030_LFP_Liberation'!D19</f>
        <v>0.32632406742571884</v>
      </c>
      <c r="C84">
        <f t="shared" ref="C84:C88" si="9">B84*100</f>
        <v>32.632406742571888</v>
      </c>
      <c r="D84">
        <f>'R0030_LFP_Liberation'!F19*100</f>
        <v>0.15857566904666354</v>
      </c>
      <c r="E84">
        <f>C84</f>
        <v>32.632406742571888</v>
      </c>
      <c r="F84">
        <f>O6+O13+O19</f>
        <v>28.732024323316878</v>
      </c>
      <c r="G84">
        <f>SQRT(SUMSQ(C6,E6,G6,I6,K6,M6,C13,E13,G13,I13,K13,M13,C19,E19,G19,I19,K19,M19))</f>
        <v>1.7028196955887023</v>
      </c>
      <c r="I84">
        <f>E84-F84</f>
        <v>3.9003824192550098</v>
      </c>
      <c r="J84">
        <f>SQRT(SUMSQ(D84,G84))</f>
        <v>1.7101874629696003</v>
      </c>
      <c r="K84">
        <f>(E84/$E$91)*100-F84</f>
        <v>10.712511963672704</v>
      </c>
      <c r="L84">
        <f>SQRT((100*SQRT((D84/E84)^2+($E$92/$E$91)^2))^2+G84^2)</f>
        <v>2.0522826542252566</v>
      </c>
      <c r="N84" t="s">
        <v>69</v>
      </c>
      <c r="O84">
        <f>O7+O14+O20</f>
        <v>4.2893537387345511</v>
      </c>
      <c r="Q84">
        <f>K84/$K$91</f>
        <v>0.36939232200484817</v>
      </c>
      <c r="R84">
        <f>SQRT((SQRT(SUMSQ(L$83:L$86))/SUM(K$83:K$86))^2+(L84/K84)^2)*Q84</f>
        <v>0.10150785259178012</v>
      </c>
      <c r="U84" s="79">
        <f t="shared" ref="U84:W86" si="10">I84/SUM(I$83:I$86)</f>
        <v>0.33250726655113361</v>
      </c>
      <c r="W84" s="79">
        <f t="shared" si="10"/>
        <v>0.36939232200484817</v>
      </c>
    </row>
    <row r="85" spans="1:23" x14ac:dyDescent="0.25">
      <c r="A85" s="2" t="str">
        <f>'R0030_LFP_Liberation'!A20</f>
        <v>Pouch</v>
      </c>
      <c r="B85">
        <f>'R0030_LFP_Liberation'!D20</f>
        <v>4.8073306663931344E-2</v>
      </c>
      <c r="C85">
        <f t="shared" si="9"/>
        <v>4.8073306663931348</v>
      </c>
      <c r="D85">
        <f>'R0030_LFP_Liberation'!F20*100</f>
        <v>1.360987070955175E-2</v>
      </c>
      <c r="E85">
        <f>C85</f>
        <v>4.8073306663931348</v>
      </c>
      <c r="F85">
        <f>O8+O15+O21</f>
        <v>5.3487641216214481</v>
      </c>
      <c r="G85">
        <f>SQRT(SUMSQ(C8,E8,G8,I8,K8,M8,C15,E15,G15,I15,K15,M15,C21,E21,G21,I21,K21,M21))</f>
        <v>0.97021434088061875</v>
      </c>
      <c r="I85">
        <f>E85-F85</f>
        <v>-0.54143345522831332</v>
      </c>
      <c r="J85">
        <f>SQRT(SUMSQ(D85,G85))</f>
        <v>0.9703097937417432</v>
      </c>
      <c r="K85">
        <f>(E85/$E$91)*100-F85</f>
        <v>0.46211370942500452</v>
      </c>
      <c r="L85">
        <f>SQRT((100*SQRT((D85/E85)^2+($E$92/$E$91)^2))^2+G85^2)</f>
        <v>1.4483064227854097</v>
      </c>
      <c r="N85" t="s">
        <v>70</v>
      </c>
      <c r="O85" s="16">
        <f>'R0030_LFP_Liberation'!$H$2</f>
        <v>3.4909251777243555</v>
      </c>
      <c r="Q85">
        <f>K85/$K$91</f>
        <v>1.5934755240754238E-2</v>
      </c>
      <c r="R85">
        <f>SQRT((SQRT(SUMSQ(L$83:L$86))/SUM(K$83:K$86))^2+(L85/K85)^2)*Q85</f>
        <v>5.0039540256528313E-2</v>
      </c>
      <c r="U85" s="79">
        <f t="shared" si="10"/>
        <v>-4.6157155598011507E-2</v>
      </c>
      <c r="W85" s="79">
        <f t="shared" si="10"/>
        <v>1.5934755240754238E-2</v>
      </c>
    </row>
    <row r="86" spans="1:23" x14ac:dyDescent="0.25">
      <c r="A86" s="2" t="str">
        <f>'R0030_LFP_Liberation'!A21</f>
        <v>Separator</v>
      </c>
      <c r="B86">
        <f>'R0030_LFP_Liberation'!D21</f>
        <v>3.873901596744965E-2</v>
      </c>
      <c r="C86">
        <f t="shared" si="9"/>
        <v>3.873901596744965</v>
      </c>
      <c r="D86">
        <f>'R0030_LFP_Liberation'!F21*100</f>
        <v>0.18435543609778107</v>
      </c>
      <c r="E86">
        <f>C86</f>
        <v>3.873901596744965</v>
      </c>
      <c r="F86">
        <f>O9+O16+O22</f>
        <v>2.9087528193802488</v>
      </c>
      <c r="G86">
        <f>SQRT(SUMSQ(C9,E9,G9,I9,K9,M9,C16,E16,G16,I16,K16,M16,C22,E22,G22,I22,K22,M22))</f>
        <v>0.37521664218087192</v>
      </c>
      <c r="I86">
        <f>E86-F86</f>
        <v>0.96514877736471627</v>
      </c>
      <c r="J86">
        <f>SQRT(SUMSQ(D86,G86))</f>
        <v>0.4180603489788185</v>
      </c>
      <c r="K86">
        <f>(E86/$E$91)*100-F86</f>
        <v>1.7738393446137986</v>
      </c>
      <c r="L86">
        <f>SQRT((100*SQRT((D86/E86)^2+($E$92/$E$91)^2))^2+G86^2)</f>
        <v>4.885092100714413</v>
      </c>
      <c r="N86" t="s">
        <v>71</v>
      </c>
      <c r="O86" s="16">
        <f>SUM('R0030_LFP_Liberation'!$H$9,'R0030_LFP_Liberation'!$H$10,'R0030_LFP_Liberation'!$H$11)</f>
        <v>3.9499381693538629</v>
      </c>
      <c r="Q86">
        <f>K86/$K$91</f>
        <v>6.1166105260133975E-2</v>
      </c>
      <c r="R86">
        <f>SQRT((SQRT(SUMSQ(L$83:L$86))/SUM(K$83:K$86))^2+(L86/K86)^2)*Q86</f>
        <v>0.16887978641012591</v>
      </c>
      <c r="U86" s="79">
        <f t="shared" si="10"/>
        <v>8.2278850451286606E-2</v>
      </c>
      <c r="W86" s="79">
        <f t="shared" si="10"/>
        <v>6.1166105260133975E-2</v>
      </c>
    </row>
    <row r="87" spans="1:23" x14ac:dyDescent="0.25">
      <c r="A87" s="2" t="str">
        <f>'R0030_LFP_Liberation'!A22</f>
        <v>Electrolyte</v>
      </c>
      <c r="B87">
        <f>'R0030_LFP_Liberation'!D22</f>
        <v>0.17270147365541763</v>
      </c>
      <c r="C87">
        <f t="shared" si="9"/>
        <v>17.270147365541764</v>
      </c>
      <c r="D87">
        <f>'R0030_LFP_Liberation'!F22*100</f>
        <v>0.68723977625045918</v>
      </c>
    </row>
    <row r="88" spans="1:23" ht="15.75" thickBot="1" x14ac:dyDescent="0.3">
      <c r="A88" s="2" t="str">
        <f>'R0030_LFP_Liberation'!A23</f>
        <v>Whole</v>
      </c>
      <c r="B88">
        <f>'R0030_LFP_Liberation'!D23</f>
        <v>1</v>
      </c>
      <c r="C88">
        <f t="shared" si="9"/>
        <v>100</v>
      </c>
      <c r="D88">
        <f>'R0030_LFP_Liberation'!F23*100</f>
        <v>9.6587321036865112E-2</v>
      </c>
      <c r="N88" t="s">
        <v>122</v>
      </c>
      <c r="O88" s="16">
        <f>O86+O85+O82</f>
        <v>82.72985263445824</v>
      </c>
    </row>
    <row r="89" spans="1:23" ht="15.75" thickBot="1" x14ac:dyDescent="0.3">
      <c r="N89" t="s">
        <v>72</v>
      </c>
      <c r="O89" s="37">
        <f>SUM(O84:O86)</f>
        <v>11.730217085812768</v>
      </c>
    </row>
    <row r="90" spans="1:23" ht="15.75" thickBot="1" x14ac:dyDescent="0.3">
      <c r="I90" s="30"/>
      <c r="R90" s="16"/>
    </row>
    <row r="91" spans="1:23" ht="15.75" thickBot="1" x14ac:dyDescent="0.3">
      <c r="A91" s="2" t="s">
        <v>35</v>
      </c>
      <c r="E91" s="32">
        <f>SUM(E83:E86)</f>
        <v>82.729852634458254</v>
      </c>
      <c r="F91" s="35">
        <f>SUM(F83:F86)</f>
        <v>70.999635548645472</v>
      </c>
      <c r="I91" s="39">
        <f>SUM(I83:I86)</f>
        <v>11.730217085812775</v>
      </c>
      <c r="K91" s="39">
        <f>SUM(K83:K86)</f>
        <v>29.000364451354528</v>
      </c>
      <c r="N91" t="s">
        <v>73</v>
      </c>
      <c r="O91" s="31">
        <f>O89+O83</f>
        <v>82.72985263445824</v>
      </c>
    </row>
    <row r="92" spans="1:23" x14ac:dyDescent="0.25">
      <c r="A92" s="2" t="s">
        <v>63</v>
      </c>
      <c r="D92" t="s">
        <v>123</v>
      </c>
      <c r="E92">
        <f>F91/E91</f>
        <v>0.8582105888953685</v>
      </c>
      <c r="I92" t="str">
        <f>IF((ROUND(I91,J93)+ROUND(F91,J93))=ROUND(E91,J93),"ok","Something Wrong")</f>
        <v>ok</v>
      </c>
      <c r="K92" t="str">
        <f>IF(K91+F91=100,"ok","Something Wrong")</f>
        <v>ok</v>
      </c>
    </row>
    <row r="93" spans="1:23" x14ac:dyDescent="0.25">
      <c r="B93" s="16"/>
      <c r="H93" t="s">
        <v>124</v>
      </c>
      <c r="J93">
        <v>3</v>
      </c>
    </row>
  </sheetData>
  <mergeCells count="7">
    <mergeCell ref="O1:P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952C-787A-45DF-BFAD-9C162F396893}">
  <sheetPr codeName="Sheet9">
    <tabColor rgb="FFFF0000"/>
  </sheetPr>
  <dimension ref="A1:W93"/>
  <sheetViews>
    <sheetView topLeftCell="A61" workbookViewId="0">
      <selection activeCell="W93" sqref="W93"/>
    </sheetView>
  </sheetViews>
  <sheetFormatPr defaultRowHeight="15" x14ac:dyDescent="0.25"/>
  <cols>
    <col min="1" max="1" width="8.85546875" style="2" customWidth="1"/>
    <col min="2" max="13" width="8.85546875" customWidth="1"/>
  </cols>
  <sheetData>
    <row r="1" spans="1:16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  <c r="O1" s="98" t="s">
        <v>74</v>
      </c>
      <c r="P1" s="98"/>
    </row>
    <row r="2" spans="1:16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s="16" t="s">
        <v>52</v>
      </c>
      <c r="P2" t="s">
        <v>27</v>
      </c>
    </row>
    <row r="3" spans="1:16" s="9" customFormat="1" x14ac:dyDescent="0.25">
      <c r="A3" s="13" t="s">
        <v>19</v>
      </c>
      <c r="B3" s="21">
        <f>('R0030_LFP_Averages'!B3)*('R0030_LFP_Liberation'!$C$8/100)</f>
        <v>3.3610047932175489</v>
      </c>
      <c r="C3" s="21">
        <f>('R0030_LFP_Averages'!C3)*('R0030_LFP_Liberation'!$C$8/100)</f>
        <v>0</v>
      </c>
      <c r="D3" s="21">
        <f>'R0030_LFP_Averages'!D3*('R0030_LFP_Liberation'!$C$7/100)</f>
        <v>4.1404292830266947</v>
      </c>
      <c r="E3" s="21">
        <f>'R0030_LFP_Averages'!E3*('R0030_LFP_Liberation'!$C$7/100)</f>
        <v>0</v>
      </c>
      <c r="F3" s="21">
        <f>'R0030_LFP_Averages'!F3*('R0030_LFP_Liberation'!$C$6/100)</f>
        <v>8.5147669342528687</v>
      </c>
      <c r="G3" s="21">
        <f>'R0030_LFP_Averages'!G3*('R0030_LFP_Liberation'!$C$6/100)</f>
        <v>0</v>
      </c>
      <c r="H3" s="21">
        <f>'R0030_LFP_Averages'!H3*('R0030_LFP_Liberation'!$C$5/100)</f>
        <v>13.633203807350894</v>
      </c>
      <c r="I3" s="21">
        <f>'R0030_LFP_Averages'!I3*('R0030_LFP_Liberation'!$C$5/100)</f>
        <v>0</v>
      </c>
      <c r="J3" s="21">
        <f>'R0030_LFP_Averages'!J3*('R0030_LFP_Liberation'!$C$4/100)</f>
        <v>27.799770547800918</v>
      </c>
      <c r="K3" s="21">
        <f>'R0030_LFP_Averages'!K3*('R0030_LFP_Liberation'!$C$4/100)</f>
        <v>0</v>
      </c>
      <c r="L3" s="21">
        <f>'R0030_LFP_Averages'!L3*('R0030_LFP_Liberation'!$C$3/100)</f>
        <v>33.556654923985853</v>
      </c>
      <c r="M3" s="21">
        <f>'R0030_LFP_Averages'!M3*('R0030_LFP_Liberation'!$C$3/100)</f>
        <v>0</v>
      </c>
      <c r="O3" s="21">
        <f>SUM(B3,D3,F3,H3,J3,L3)</f>
        <v>91.005830289634787</v>
      </c>
      <c r="P3" s="21">
        <f t="shared" ref="O3:P16" si="0">SUM(C3,E3,G3,I3,K3,M3)</f>
        <v>0</v>
      </c>
    </row>
    <row r="4" spans="1:16" s="24" customFormat="1" x14ac:dyDescent="0.25">
      <c r="A4" s="22" t="s">
        <v>12</v>
      </c>
      <c r="B4" s="23">
        <f>'R0030_LFP_Averages'!B4*('R0030_LFP_Liberation'!$C$8/100)</f>
        <v>9.764890703734079E-2</v>
      </c>
      <c r="C4" s="23">
        <f>('R0030_LFP_Averages'!C4)*('R0030_LFP_Liberation'!$C$8/100)</f>
        <v>1.4852132661152182E-2</v>
      </c>
      <c r="D4" s="23">
        <f>'R0030_LFP_Averages'!D4*('R0030_LFP_Liberation'!$C$7/100)</f>
        <v>0.11015644564138075</v>
      </c>
      <c r="E4" s="23">
        <f>'R0030_LFP_Averages'!E4*('R0030_LFP_Liberation'!$C$7/100)</f>
        <v>1.5188498824245224E-2</v>
      </c>
      <c r="F4" s="23">
        <f>'R0030_LFP_Averages'!F4*('R0030_LFP_Liberation'!$C$6/100)</f>
        <v>0.22851229208081114</v>
      </c>
      <c r="G4" s="23">
        <f>'R0030_LFP_Averages'!G4*('R0030_LFP_Liberation'!$C$6/100)</f>
        <v>4.1411351095378149E-2</v>
      </c>
      <c r="H4" s="23">
        <f>'R0030_LFP_Averages'!H4*('R0030_LFP_Liberation'!$C$5/100)</f>
        <v>0.54406994808169573</v>
      </c>
      <c r="I4" s="23">
        <f>'R0030_LFP_Averages'!I4*('R0030_LFP_Liberation'!$C$5/100)</f>
        <v>6.8639369365202596E-2</v>
      </c>
      <c r="J4" s="23">
        <f>'R0030_LFP_Averages'!J4*('R0030_LFP_Liberation'!$C$4/100)</f>
        <v>1.2656725953321211</v>
      </c>
      <c r="K4" s="23">
        <f>'R0030_LFP_Averages'!K4*('R0030_LFP_Liberation'!$C$4/100)</f>
        <v>0.45739452460999236</v>
      </c>
      <c r="L4" s="23">
        <f>'R0030_LFP_Averages'!L4*('R0030_LFP_Liberation'!$C$3/100)</f>
        <v>1.3500985648337893</v>
      </c>
      <c r="M4" s="23">
        <f>'R0030_LFP_Averages'!M4*('R0030_LFP_Liberation'!$C$3/100)</f>
        <v>0.16462358314894632</v>
      </c>
      <c r="O4" s="23">
        <f>SUM(B4,D4,F4,H4,J4,L4)</f>
        <v>3.5961587530071393</v>
      </c>
      <c r="P4" s="23">
        <f t="shared" si="0"/>
        <v>0.76210945970491684</v>
      </c>
    </row>
    <row r="5" spans="1:16" x14ac:dyDescent="0.25">
      <c r="A5" s="2" t="s">
        <v>8</v>
      </c>
      <c r="B5" s="16">
        <f>'R0030_LFP_Averages'!B5*('R0030_LFP_Liberation'!$C$8/100)</f>
        <v>4.3326862326881037E-3</v>
      </c>
      <c r="C5" s="16">
        <f>('R0030_LFP_Averages'!C5)*('R0030_LFP_Liberation'!$C$8/100)</f>
        <v>4.4417883245350771E-3</v>
      </c>
      <c r="D5" s="16">
        <f>'R0030_LFP_Averages'!D5*('R0030_LFP_Liberation'!$C$7/100)</f>
        <v>4.91110191409346E-3</v>
      </c>
      <c r="E5" s="16">
        <f>'R0030_LFP_Averages'!E5*('R0030_LFP_Liberation'!$C$7/100)</f>
        <v>1.5639473135041488E-3</v>
      </c>
      <c r="F5" s="16">
        <f>'R0030_LFP_Averages'!F5*('R0030_LFP_Liberation'!$C$6/100)</f>
        <v>2.5500311514091252E-3</v>
      </c>
      <c r="G5" s="16">
        <f>'R0030_LFP_Averages'!G5*('R0030_LFP_Liberation'!$C$6/100)</f>
        <v>2.5502070789399818E-3</v>
      </c>
      <c r="H5" s="16">
        <f>'R0030_LFP_Averages'!H5*('R0030_LFP_Liberation'!$C$5/100)</f>
        <v>2.1427872419385853E-2</v>
      </c>
      <c r="I5" s="16">
        <f>'R0030_LFP_Averages'!I5*('R0030_LFP_Liberation'!$C$5/100)</f>
        <v>1.585407155182831E-2</v>
      </c>
      <c r="J5" s="16">
        <f>'R0030_LFP_Averages'!J5*('R0030_LFP_Liberation'!$C$4/100)</f>
        <v>7.5600402183172086E-2</v>
      </c>
      <c r="K5" s="16">
        <f>'R0030_LFP_Averages'!K5*('R0030_LFP_Liberation'!$C$4/100)</f>
        <v>0.13094373765389514</v>
      </c>
      <c r="L5" s="16">
        <f>'R0030_LFP_Averages'!L5*('R0030_LFP_Liberation'!$C$3/100)</f>
        <v>0</v>
      </c>
      <c r="M5" s="16">
        <f>'R0030_LFP_Averages'!M5*('R0030_LFP_Liberation'!$C$3/100)</f>
        <v>0</v>
      </c>
      <c r="O5" s="16">
        <f>SUM(B5,D5,F5,H5,J5,L5)</f>
        <v>0.10882209390074862</v>
      </c>
      <c r="P5" s="16">
        <f t="shared" si="0"/>
        <v>0.15535375192270265</v>
      </c>
    </row>
    <row r="6" spans="1:16" x14ac:dyDescent="0.25">
      <c r="A6" s="2" t="s">
        <v>6</v>
      </c>
      <c r="B6" s="16">
        <f>'R0030_LFP_Averages'!B6*('R0030_LFP_Liberation'!$C$8/100)</f>
        <v>7.9851224350489716E-3</v>
      </c>
      <c r="C6" s="16">
        <f>('R0030_LFP_Averages'!C6)*('R0030_LFP_Liberation'!$C$8/100)</f>
        <v>1.0328222035516977E-3</v>
      </c>
      <c r="D6" s="16">
        <f>'R0030_LFP_Averages'!D6*('R0030_LFP_Liberation'!$C$7/100)</f>
        <v>4.5210853154528229E-3</v>
      </c>
      <c r="E6" s="16">
        <f>'R0030_LFP_Averages'!E6*('R0030_LFP_Liberation'!$C$7/100)</f>
        <v>3.6476285614320337E-3</v>
      </c>
      <c r="F6" s="16">
        <f>'R0030_LFP_Averages'!F6*('R0030_LFP_Liberation'!$C$6/100)</f>
        <v>6.1681826245135549E-3</v>
      </c>
      <c r="G6" s="16">
        <f>'R0030_LFP_Averages'!G6*('R0030_LFP_Liberation'!$C$6/100)</f>
        <v>3.9612256642485031E-3</v>
      </c>
      <c r="H6" s="16">
        <f>'R0030_LFP_Averages'!H6*('R0030_LFP_Liberation'!$C$5/100)</f>
        <v>3.4611390748975186E-2</v>
      </c>
      <c r="I6" s="16">
        <f>'R0030_LFP_Averages'!I6*('R0030_LFP_Liberation'!$C$5/100)</f>
        <v>3.6993917604038189E-2</v>
      </c>
      <c r="J6" s="16">
        <f>'R0030_LFP_Averages'!J6*('R0030_LFP_Liberation'!$C$4/100)</f>
        <v>2.88226143569375E-2</v>
      </c>
      <c r="K6" s="16">
        <f>'R0030_LFP_Averages'!K6*('R0030_LFP_Liberation'!$C$4/100)</f>
        <v>4.9922232473179923E-2</v>
      </c>
      <c r="L6" s="16">
        <f>'R0030_LFP_Averages'!L6*('R0030_LFP_Liberation'!$C$3/100)</f>
        <v>6.7471294505304188E-2</v>
      </c>
      <c r="M6" s="16">
        <f>'R0030_LFP_Averages'!M6*('R0030_LFP_Liberation'!$C$3/100)</f>
        <v>6.7542806136735023E-2</v>
      </c>
      <c r="O6" s="16">
        <f>SUM(B6,D6,F6,H6,J6,L6)</f>
        <v>0.14957968998623222</v>
      </c>
      <c r="P6" s="16">
        <f t="shared" si="0"/>
        <v>0.16310063264318536</v>
      </c>
    </row>
    <row r="7" spans="1:16" x14ac:dyDescent="0.25">
      <c r="A7" s="2" t="s">
        <v>14</v>
      </c>
      <c r="B7" s="16">
        <f>'R0030_LFP_Averages'!B7*('R0030_LFP_Liberation'!$C$8/100)</f>
        <v>1.9588382429447368E-4</v>
      </c>
      <c r="C7" s="16">
        <f>('R0030_LFP_Averages'!C7)*('R0030_LFP_Liberation'!$C$8/100)</f>
        <v>3.3928073605892319E-4</v>
      </c>
      <c r="D7" s="16">
        <f>'R0030_LFP_Averages'!D7*('R0030_LFP_Liberation'!$C$7/100)</f>
        <v>2.3838935772623357E-4</v>
      </c>
      <c r="E7" s="16">
        <f>'R0030_LFP_Averages'!E7*('R0030_LFP_Liberation'!$C$7/100)</f>
        <v>4.1290247956554888E-4</v>
      </c>
      <c r="F7" s="16">
        <f>'R0030_LFP_Averages'!F7*('R0030_LFP_Liberation'!$C$6/100)</f>
        <v>0</v>
      </c>
      <c r="G7" s="16">
        <f>'R0030_LFP_Averages'!G7*('R0030_LFP_Liberation'!$C$6/100)</f>
        <v>0</v>
      </c>
      <c r="H7" s="16">
        <f>'R0030_LFP_Averages'!H7*('R0030_LFP_Liberation'!$C$5/100)</f>
        <v>1.2610130846788035E-3</v>
      </c>
      <c r="I7" s="16">
        <f>'R0030_LFP_Averages'!I7*('R0030_LFP_Liberation'!$C$5/100)</f>
        <v>2.1841387316728425E-3</v>
      </c>
      <c r="J7" s="16">
        <f>'R0030_LFP_Averages'!J7*('R0030_LFP_Liberation'!$C$4/100)</f>
        <v>7.5411001753281456E-2</v>
      </c>
      <c r="K7" s="16">
        <f>'R0030_LFP_Averages'!K7*('R0030_LFP_Liberation'!$C$4/100)</f>
        <v>7.6787060647287395E-2</v>
      </c>
      <c r="L7" s="16">
        <f>'R0030_LFP_Averages'!L7*('R0030_LFP_Liberation'!$C$3/100)</f>
        <v>0</v>
      </c>
      <c r="M7" s="16">
        <f>'R0030_LFP_Averages'!M7*('R0030_LFP_Liberation'!$C$3/100)</f>
        <v>0</v>
      </c>
      <c r="O7" s="16">
        <f>SUM(B7,D7,F7,H7,J7,L7)</f>
        <v>7.710628801998097E-2</v>
      </c>
      <c r="P7" s="16">
        <f t="shared" si="0"/>
        <v>7.972338259458471E-2</v>
      </c>
    </row>
    <row r="8" spans="1:16" x14ac:dyDescent="0.25">
      <c r="A8" s="2" t="s">
        <v>15</v>
      </c>
      <c r="B8" s="16">
        <f>'R0030_LFP_Averages'!B8*('R0030_LFP_Liberation'!$C$8/100)</f>
        <v>1.6601193255538566E-2</v>
      </c>
      <c r="C8" s="16">
        <f>('R0030_LFP_Averages'!C8)*('R0030_LFP_Liberation'!$C$8/100)</f>
        <v>3.2278790226533379E-3</v>
      </c>
      <c r="D8" s="16">
        <f>'R0030_LFP_Averages'!D8*('R0030_LFP_Liberation'!$C$7/100)</f>
        <v>1.2443117312460623E-2</v>
      </c>
      <c r="E8" s="16">
        <f>'R0030_LFP_Averages'!E8*('R0030_LFP_Liberation'!$C$7/100)</f>
        <v>4.3787407522413429E-3</v>
      </c>
      <c r="F8" s="16">
        <f>'R0030_LFP_Averages'!F8*('R0030_LFP_Liberation'!$C$6/100)</f>
        <v>1.8664465399622063E-2</v>
      </c>
      <c r="G8" s="16">
        <f>'R0030_LFP_Averages'!G8*('R0030_LFP_Liberation'!$C$6/100)</f>
        <v>1.3393252137493029E-2</v>
      </c>
      <c r="H8" s="16">
        <f>'R0030_LFP_Averages'!H8*('R0030_LFP_Liberation'!$C$5/100)</f>
        <v>2.2007883588368339E-2</v>
      </c>
      <c r="I8" s="16">
        <f>'R0030_LFP_Averages'!I8*('R0030_LFP_Liberation'!$C$5/100)</f>
        <v>1.9166732430247427E-2</v>
      </c>
      <c r="J8" s="16">
        <f>'R0030_LFP_Averages'!J8*('R0030_LFP_Liberation'!$C$4/100)</f>
        <v>0.26920330409316334</v>
      </c>
      <c r="K8" s="16">
        <f>'R0030_LFP_Averages'!K8*('R0030_LFP_Liberation'!$C$4/100)</f>
        <v>0.34970682653299845</v>
      </c>
      <c r="L8" s="16">
        <f>'R0030_LFP_Averages'!L8*('R0030_LFP_Liberation'!$C$3/100)</f>
        <v>7.7109229437651763E-2</v>
      </c>
      <c r="M8" s="16">
        <f>'R0030_LFP_Averages'!M8*('R0030_LFP_Liberation'!$C$3/100)</f>
        <v>8.0455289624688467E-2</v>
      </c>
      <c r="O8" s="16">
        <f t="shared" si="0"/>
        <v>0.41602919308680469</v>
      </c>
      <c r="P8" s="16">
        <f t="shared" si="0"/>
        <v>0.47032872050032204</v>
      </c>
    </row>
    <row r="9" spans="1:16" x14ac:dyDescent="0.25">
      <c r="A9" s="2" t="s">
        <v>16</v>
      </c>
      <c r="B9" s="16">
        <f>'R0030_LFP_Averages'!B9*('R0030_LFP_Liberation'!$C$8/100)</f>
        <v>6.8534021289770666E-2</v>
      </c>
      <c r="C9" s="16">
        <f>('R0030_LFP_Averages'!C9)*('R0030_LFP_Liberation'!$C$8/100)</f>
        <v>7.4180236390817608E-3</v>
      </c>
      <c r="D9" s="16">
        <f>'R0030_LFP_Averages'!D9*('R0030_LFP_Liberation'!$C$7/100)</f>
        <v>8.8042751741647607E-2</v>
      </c>
      <c r="E9" s="16">
        <f>'R0030_LFP_Averages'!E9*('R0030_LFP_Liberation'!$C$7/100)</f>
        <v>8.8277298983857489E-3</v>
      </c>
      <c r="F9" s="16">
        <f>'R0030_LFP_Averages'!F9*('R0030_LFP_Liberation'!$C$6/100)</f>
        <v>0.20112961290526638</v>
      </c>
      <c r="G9" s="16">
        <f>'R0030_LFP_Averages'!G9*('R0030_LFP_Liberation'!$C$6/100)</f>
        <v>2.8927379753218595E-2</v>
      </c>
      <c r="H9" s="16">
        <f>'R0030_LFP_Averages'!H9*('R0030_LFP_Liberation'!$C$5/100)</f>
        <v>0.46476178824028763</v>
      </c>
      <c r="I9" s="16">
        <f>'R0030_LFP_Averages'!I9*('R0030_LFP_Liberation'!$C$5/100)</f>
        <v>2.3769548885323458E-2</v>
      </c>
      <c r="J9" s="16">
        <f>'R0030_LFP_Averages'!J9*('R0030_LFP_Liberation'!$C$4/100)</f>
        <v>0.81663527294556648</v>
      </c>
      <c r="K9" s="16">
        <f>'R0030_LFP_Averages'!K9*('R0030_LFP_Liberation'!$C$4/100)</f>
        <v>0.12802872328310375</v>
      </c>
      <c r="L9" s="16">
        <f>'R0030_LFP_Averages'!L9*('R0030_LFP_Liberation'!$C$3/100)</f>
        <v>1.205518040890833</v>
      </c>
      <c r="M9" s="16">
        <f>'R0030_LFP_Averages'!M9*('R0030_LFP_Liberation'!$C$3/100)</f>
        <v>0.17116138934514077</v>
      </c>
      <c r="O9" s="16">
        <f t="shared" si="0"/>
        <v>2.844621488013372</v>
      </c>
      <c r="P9" s="16">
        <f t="shared" si="0"/>
        <v>0.36813279480425409</v>
      </c>
    </row>
    <row r="10" spans="1:16" s="10" customFormat="1" x14ac:dyDescent="0.25">
      <c r="A10" s="14" t="s">
        <v>20</v>
      </c>
      <c r="B10" s="18">
        <f>'R0030_LFP_Averages'!B10*('R0030_LFP_Liberation'!$C$8/100)</f>
        <v>3.2633558861802081</v>
      </c>
      <c r="C10" s="18">
        <f>('R0030_LFP_Averages'!C10)*('R0030_LFP_Liberation'!$C$8/100)</f>
        <v>1.4852132661151991E-2</v>
      </c>
      <c r="D10" s="18">
        <f>'R0030_LFP_Averages'!D10*('R0030_LFP_Liberation'!$C$7/100)</f>
        <v>4.0302728373853141</v>
      </c>
      <c r="E10" s="18">
        <f>'R0030_LFP_Averages'!E10*('R0030_LFP_Liberation'!$C$7/100)</f>
        <v>1.5188498824244832E-2</v>
      </c>
      <c r="F10" s="18">
        <f>'R0030_LFP_Averages'!F10*('R0030_LFP_Liberation'!$C$6/100)</f>
        <v>8.2862546421720573</v>
      </c>
      <c r="G10" s="18">
        <f>'R0030_LFP_Averages'!G10*('R0030_LFP_Liberation'!$C$6/100)</f>
        <v>4.1411351095378336E-2</v>
      </c>
      <c r="H10" s="18">
        <f>'R0030_LFP_Averages'!H10*('R0030_LFP_Liberation'!$C$5/100)</f>
        <v>13.0891338592692</v>
      </c>
      <c r="I10" s="18">
        <f>'R0030_LFP_Averages'!I10*('R0030_LFP_Liberation'!$C$5/100)</f>
        <v>6.8639369365203026E-2</v>
      </c>
      <c r="J10" s="18">
        <f>'R0030_LFP_Averages'!J10*('R0030_LFP_Liberation'!$C$4/100)</f>
        <v>26.534097952468795</v>
      </c>
      <c r="K10" s="18">
        <f>'R0030_LFP_Averages'!K10*('R0030_LFP_Liberation'!$C$4/100)</f>
        <v>0.45739452460999092</v>
      </c>
      <c r="L10" s="18">
        <f>'R0030_LFP_Averages'!L10*('R0030_LFP_Liberation'!$C$3/100)</f>
        <v>32.20655635915206</v>
      </c>
      <c r="M10" s="18">
        <f>'R0030_LFP_Averages'!M10*('R0030_LFP_Liberation'!$C$3/100)</f>
        <v>0.16462358314894923</v>
      </c>
      <c r="O10" s="18">
        <f t="shared" si="0"/>
        <v>87.409671536627627</v>
      </c>
      <c r="P10" s="18">
        <f t="shared" si="0"/>
        <v>0.76210945970491828</v>
      </c>
    </row>
    <row r="11" spans="1:16" s="11" customFormat="1" x14ac:dyDescent="0.25">
      <c r="A11" s="15" t="s">
        <v>17</v>
      </c>
      <c r="B11" s="17">
        <f>'R0030_LFP_Averages'!B11*('R0030_LFP_Liberation'!$C$8/100)</f>
        <v>2.1397403687975975</v>
      </c>
      <c r="C11" s="17">
        <f>('R0030_LFP_Averages'!C11)*('R0030_LFP_Liberation'!$C$8/100)</f>
        <v>2.8729522663061242E-2</v>
      </c>
      <c r="D11" s="17">
        <f>'R0030_LFP_Averages'!D11*('R0030_LFP_Liberation'!$C$7/100)</f>
        <v>2.5809014207179146</v>
      </c>
      <c r="E11" s="17">
        <f>'R0030_LFP_Averages'!E11*('R0030_LFP_Liberation'!$C$7/100)</f>
        <v>4.6734720263745172E-2</v>
      </c>
      <c r="F11" s="17">
        <f>'R0030_LFP_Averages'!F11*('R0030_LFP_Liberation'!$C$6/100)</f>
        <v>4.975461698353814</v>
      </c>
      <c r="G11" s="17">
        <f>'R0030_LFP_Averages'!G11*('R0030_LFP_Liberation'!$C$6/100)</f>
        <v>0.22359276658779534</v>
      </c>
      <c r="H11" s="17">
        <f>'R0030_LFP_Averages'!H11*('R0030_LFP_Liberation'!$C$5/100)</f>
        <v>7.1101091895251782</v>
      </c>
      <c r="I11" s="17">
        <f>'R0030_LFP_Averages'!I11*('R0030_LFP_Liberation'!$C$5/100)</f>
        <v>0.19952448927770688</v>
      </c>
      <c r="J11" s="17">
        <f>'R0030_LFP_Averages'!J11*('R0030_LFP_Liberation'!$C$4/100)</f>
        <v>14.446362899313385</v>
      </c>
      <c r="K11" s="17">
        <f>'R0030_LFP_Averages'!K11*('R0030_LFP_Liberation'!$C$4/100)</f>
        <v>1.0164453444560877</v>
      </c>
      <c r="L11" s="17">
        <f>'R0030_LFP_Averages'!L11*('R0030_LFP_Liberation'!$C$3/100)</f>
        <v>14.56737909492306</v>
      </c>
      <c r="M11" s="17">
        <f>'R0030_LFP_Averages'!M11*('R0030_LFP_Liberation'!$C$3/100)</f>
        <v>1.0932523825714828</v>
      </c>
      <c r="O11" s="17">
        <f t="shared" si="0"/>
        <v>45.819954671630953</v>
      </c>
      <c r="P11" s="17">
        <f t="shared" si="0"/>
        <v>2.6082792258198788</v>
      </c>
    </row>
    <row r="12" spans="1:16" x14ac:dyDescent="0.25">
      <c r="A12" s="2" t="s">
        <v>8</v>
      </c>
      <c r="B12" s="16">
        <f>'R0030_LFP_Averages'!B12*('R0030_LFP_Liberation'!$C$8/100)</f>
        <v>2.0639094772441657</v>
      </c>
      <c r="C12" s="16">
        <f>('R0030_LFP_Averages'!C12)*('R0030_LFP_Liberation'!$C$8/100)</f>
        <v>3.0574212443994515E-2</v>
      </c>
      <c r="D12" s="16">
        <f>'R0030_LFP_Averages'!D12*('R0030_LFP_Liberation'!$C$7/100)</f>
        <v>2.457060588461871</v>
      </c>
      <c r="E12" s="16">
        <f>'R0030_LFP_Averages'!E12*('R0030_LFP_Liberation'!$C$7/100)</f>
        <v>6.5804771135802076E-2</v>
      </c>
      <c r="F12" s="16">
        <f>'R0030_LFP_Averages'!F12*('R0030_LFP_Liberation'!$C$6/100)</f>
        <v>4.4305539231243332</v>
      </c>
      <c r="G12" s="16">
        <f>'R0030_LFP_Averages'!G12*('R0030_LFP_Liberation'!$C$6/100)</f>
        <v>6.9660247647978846E-2</v>
      </c>
      <c r="H12" s="16">
        <f>'R0030_LFP_Averages'!H12*('R0030_LFP_Liberation'!$C$5/100)</f>
        <v>6.4783522099172588</v>
      </c>
      <c r="I12" s="16">
        <f>'R0030_LFP_Averages'!I12*('R0030_LFP_Liberation'!$C$5/100)</f>
        <v>0.267203532384996</v>
      </c>
      <c r="J12" s="16">
        <f>'R0030_LFP_Averages'!J12*('R0030_LFP_Liberation'!$C$4/100)</f>
        <v>12.80222992369305</v>
      </c>
      <c r="K12" s="16">
        <f>'R0030_LFP_Averages'!K12*('R0030_LFP_Liberation'!$C$4/100)</f>
        <v>0.89661606079947498</v>
      </c>
      <c r="L12" s="16">
        <f>'R0030_LFP_Averages'!L12*('R0030_LFP_Liberation'!$C$3/100)</f>
        <v>12.54690710854819</v>
      </c>
      <c r="M12" s="16">
        <f>'R0030_LFP_Averages'!M12*('R0030_LFP_Liberation'!$C$3/100)</f>
        <v>0.48991450860168229</v>
      </c>
      <c r="O12" s="16">
        <f t="shared" si="0"/>
        <v>40.779013230988866</v>
      </c>
      <c r="P12" s="16">
        <f t="shared" si="0"/>
        <v>1.8197733330139287</v>
      </c>
    </row>
    <row r="13" spans="1:16" x14ac:dyDescent="0.25">
      <c r="A13" s="2" t="s">
        <v>6</v>
      </c>
      <c r="B13" s="16">
        <f>'R0030_LFP_Averages'!B13*('R0030_LFP_Liberation'!$C$8/100)</f>
        <v>5.5033883245919665E-2</v>
      </c>
      <c r="C13" s="16">
        <f>('R0030_LFP_Averages'!C13)*('R0030_LFP_Liberation'!$C$8/100)</f>
        <v>9.9990374340409131E-3</v>
      </c>
      <c r="D13" s="16">
        <f>'R0030_LFP_Averages'!D13*('R0030_LFP_Liberation'!$C$7/100)</f>
        <v>6.3978829560169745E-2</v>
      </c>
      <c r="E13" s="16">
        <f>'R0030_LFP_Averages'!E13*('R0030_LFP_Liberation'!$C$7/100)</f>
        <v>3.0556952391429304E-2</v>
      </c>
      <c r="F13" s="16">
        <f>'R0030_LFP_Averages'!F13*('R0030_LFP_Liberation'!$C$6/100)</f>
        <v>0.26597489596823548</v>
      </c>
      <c r="G13" s="16">
        <f>'R0030_LFP_Averages'!G13*('R0030_LFP_Liberation'!$C$6/100)</f>
        <v>0.13177318311847305</v>
      </c>
      <c r="H13" s="16">
        <f>'R0030_LFP_Averages'!H13*('R0030_LFP_Liberation'!$C$5/100)</f>
        <v>0.40971892945053684</v>
      </c>
      <c r="I13" s="16">
        <f>'R0030_LFP_Averages'!I13*('R0030_LFP_Liberation'!$C$5/100)</f>
        <v>7.4908033682113767E-2</v>
      </c>
      <c r="J13" s="16">
        <f>'R0030_LFP_Averages'!J13*('R0030_LFP_Liberation'!$C$4/100)</f>
        <v>0.55563072175076678</v>
      </c>
      <c r="K13" s="16">
        <f>'R0030_LFP_Averages'!K13*('R0030_LFP_Liberation'!$C$4/100)</f>
        <v>0.13867626894495336</v>
      </c>
      <c r="L13" s="16">
        <f>'R0030_LFP_Averages'!L13*('R0030_LFP_Liberation'!$C$3/100)</f>
        <v>0.35928352827625093</v>
      </c>
      <c r="M13" s="16">
        <f>'R0030_LFP_Averages'!M13*('R0030_LFP_Liberation'!$C$3/100)</f>
        <v>0.23020567621620017</v>
      </c>
      <c r="O13" s="16">
        <f t="shared" si="0"/>
        <v>1.7096207882518795</v>
      </c>
      <c r="P13" s="16">
        <f t="shared" si="0"/>
        <v>0.61611915178721055</v>
      </c>
    </row>
    <row r="14" spans="1:16" x14ac:dyDescent="0.25">
      <c r="A14" s="2" t="s">
        <v>14</v>
      </c>
      <c r="B14" s="16">
        <f>'R0030_LFP_Averages'!B14*('R0030_LFP_Liberation'!$C$8/100)</f>
        <v>8.0983137210279901E-3</v>
      </c>
      <c r="C14" s="16">
        <f>('R0030_LFP_Averages'!C14)*('R0030_LFP_Liberation'!$C$8/100)</f>
        <v>4.4715834871072151E-3</v>
      </c>
      <c r="D14" s="16">
        <f>'R0030_LFP_Averages'!D14*('R0030_LFP_Liberation'!$C$7/100)</f>
        <v>2.9688082191528249E-2</v>
      </c>
      <c r="E14" s="16">
        <f>'R0030_LFP_Averages'!E14*('R0030_LFP_Liberation'!$C$7/100)</f>
        <v>1.4791606517922613E-2</v>
      </c>
      <c r="F14" s="16">
        <f>'R0030_LFP_Averages'!F14*('R0030_LFP_Liberation'!$C$6/100)</f>
        <v>5.8277211709933316E-2</v>
      </c>
      <c r="G14" s="16">
        <f>'R0030_LFP_Averages'!G14*('R0030_LFP_Liberation'!$C$6/100)</f>
        <v>3.5875665899767546E-2</v>
      </c>
      <c r="H14" s="16">
        <f>'R0030_LFP_Averages'!H14*('R0030_LFP_Liberation'!$C$5/100)</f>
        <v>8.7790252036117566E-2</v>
      </c>
      <c r="I14" s="16">
        <f>'R0030_LFP_Averages'!I14*('R0030_LFP_Liberation'!$C$5/100)</f>
        <v>4.27582854171909E-2</v>
      </c>
      <c r="J14" s="16">
        <f>'R0030_LFP_Averages'!J14*('R0030_LFP_Liberation'!$C$4/100)</f>
        <v>0.89544899316244342</v>
      </c>
      <c r="K14" s="16">
        <f>'R0030_LFP_Averages'!K14*('R0030_LFP_Liberation'!$C$4/100)</f>
        <v>0.17573445651400602</v>
      </c>
      <c r="L14" s="16">
        <f>'R0030_LFP_Averages'!L14*('R0030_LFP_Liberation'!$C$3/100)</f>
        <v>0.85031227914613861</v>
      </c>
      <c r="M14" s="16">
        <f>'R0030_LFP_Averages'!M14*('R0030_LFP_Liberation'!$C$3/100)</f>
        <v>0.2020385344850622</v>
      </c>
      <c r="O14" s="16">
        <f t="shared" si="0"/>
        <v>1.929615131967189</v>
      </c>
      <c r="P14" s="16">
        <f t="shared" si="0"/>
        <v>0.47567013232105648</v>
      </c>
    </row>
    <row r="15" spans="1:16" x14ac:dyDescent="0.25">
      <c r="A15" s="2" t="s">
        <v>15</v>
      </c>
      <c r="B15" s="16">
        <f>'R0030_LFP_Averages'!B15*('R0030_LFP_Liberation'!$C$8/100)</f>
        <v>1.1736486574796609E-2</v>
      </c>
      <c r="C15" s="16">
        <f>('R0030_LFP_Averages'!C15)*('R0030_LFP_Liberation'!$C$8/100)</f>
        <v>4.0792863122269306E-3</v>
      </c>
      <c r="D15" s="16">
        <f>'R0030_LFP_Averages'!D15*('R0030_LFP_Liberation'!$C$7/100)</f>
        <v>2.8730820939565041E-2</v>
      </c>
      <c r="E15" s="16">
        <f>'R0030_LFP_Averages'!E15*('R0030_LFP_Liberation'!$C$7/100)</f>
        <v>1.6936486303074153E-2</v>
      </c>
      <c r="F15" s="16">
        <f>'R0030_LFP_Averages'!F15*('R0030_LFP_Liberation'!$C$6/100)</f>
        <v>0.21466535600964148</v>
      </c>
      <c r="G15" s="16">
        <f>'R0030_LFP_Averages'!G15*('R0030_LFP_Liberation'!$C$6/100)</f>
        <v>7.3554982528541438E-2</v>
      </c>
      <c r="H15" s="16">
        <f>'R0030_LFP_Averages'!H15*('R0030_LFP_Liberation'!$C$5/100)</f>
        <v>0.12829733175654687</v>
      </c>
      <c r="I15" s="16">
        <f>'R0030_LFP_Averages'!I15*('R0030_LFP_Liberation'!$C$5/100)</f>
        <v>6.3730533681368925E-2</v>
      </c>
      <c r="J15" s="16">
        <f>'R0030_LFP_Averages'!J15*('R0030_LFP_Liberation'!$C$4/100)</f>
        <v>0.17374062909701249</v>
      </c>
      <c r="K15" s="16">
        <f>'R0030_LFP_Averages'!K15*('R0030_LFP_Liberation'!$C$4/100)</f>
        <v>0.138773312576708</v>
      </c>
      <c r="L15" s="16">
        <f>'R0030_LFP_Averages'!L15*('R0030_LFP_Liberation'!$C$3/100)</f>
        <v>0.81087617895248199</v>
      </c>
      <c r="M15" s="16">
        <f>'R0030_LFP_Averages'!M15*('R0030_LFP_Liberation'!$C$3/100)</f>
        <v>0.72005117146293118</v>
      </c>
      <c r="O15" s="16">
        <f t="shared" si="0"/>
        <v>1.3680468033300444</v>
      </c>
      <c r="P15" s="16">
        <f t="shared" si="0"/>
        <v>1.0171257728648506</v>
      </c>
    </row>
    <row r="16" spans="1:16" x14ac:dyDescent="0.25">
      <c r="A16" s="2" t="s">
        <v>16</v>
      </c>
      <c r="B16" s="16">
        <f>'R0030_LFP_Averages'!B16*('R0030_LFP_Liberation'!$C$8/100)</f>
        <v>9.622080116877083E-4</v>
      </c>
      <c r="C16" s="16">
        <f>('R0030_LFP_Averages'!C16)*('R0030_LFP_Liberation'!$C$8/100)</f>
        <v>6.7784267328438214E-4</v>
      </c>
      <c r="D16" s="16">
        <f>'R0030_LFP_Averages'!D16*('R0030_LFP_Liberation'!$C$7/100)</f>
        <v>1.4430995647808887E-3</v>
      </c>
      <c r="E16" s="16">
        <f>'R0030_LFP_Averages'!E16*('R0030_LFP_Liberation'!$C$7/100)</f>
        <v>8.5326902578063851E-4</v>
      </c>
      <c r="F16" s="16">
        <f>'R0030_LFP_Averages'!F16*('R0030_LFP_Liberation'!$C$6/100)</f>
        <v>5.9903115416707732E-3</v>
      </c>
      <c r="G16" s="16">
        <f>'R0030_LFP_Averages'!G16*('R0030_LFP_Liberation'!$C$6/100)</f>
        <v>4.0597098292150038E-3</v>
      </c>
      <c r="H16" s="16">
        <f>'R0030_LFP_Averages'!H16*('R0030_LFP_Liberation'!$C$5/100)</f>
        <v>5.9504663647179535E-3</v>
      </c>
      <c r="I16" s="16">
        <f>'R0030_LFP_Averages'!I16*('R0030_LFP_Liberation'!$C$5/100)</f>
        <v>4.1898080513781463E-3</v>
      </c>
      <c r="J16" s="16">
        <f>'R0030_LFP_Averages'!J16*('R0030_LFP_Liberation'!$C$4/100)</f>
        <v>1.9312631610114241E-2</v>
      </c>
      <c r="K16" s="16">
        <f>'R0030_LFP_Averages'!K16*('R0030_LFP_Liberation'!$C$4/100)</f>
        <v>1.9522881656970033E-2</v>
      </c>
      <c r="L16" s="16">
        <f>'R0030_LFP_Averages'!L16*('R0030_LFP_Liberation'!$C$3/100)</f>
        <v>0</v>
      </c>
      <c r="M16" s="16">
        <f>'R0030_LFP_Averages'!M16*('R0030_LFP_Liberation'!$C$3/100)</f>
        <v>0</v>
      </c>
      <c r="O16" s="16">
        <f t="shared" si="0"/>
        <v>3.3658717092971566E-2</v>
      </c>
      <c r="P16" s="16">
        <f t="shared" si="0"/>
        <v>2.9303511236628204E-2</v>
      </c>
    </row>
    <row r="17" spans="1:21" s="20" customFormat="1" x14ac:dyDescent="0.25">
      <c r="A17" s="12" t="s">
        <v>18</v>
      </c>
      <c r="B17" s="19">
        <f>'R0030_LFP_Averages'!B17*('R0030_LFP_Liberation'!$C$8/100)</f>
        <v>1.1236155173826101</v>
      </c>
      <c r="C17" s="19">
        <f>('R0030_LFP_Averages'!C17)*('R0030_LFP_Liberation'!$C$8/100)</f>
        <v>2.3208715497411075E-2</v>
      </c>
      <c r="D17" s="19">
        <f>'R0030_LFP_Averages'!D17*('R0030_LFP_Liberation'!$C$7/100)</f>
        <v>1.4493714166673994</v>
      </c>
      <c r="E17" s="19">
        <f>'R0030_LFP_Averages'!E17*('R0030_LFP_Liberation'!$C$7/100)</f>
        <v>4.4342305418465164E-2</v>
      </c>
      <c r="F17" s="19">
        <f>'R0030_LFP_Averages'!F17*('R0030_LFP_Liberation'!$C$6/100)</f>
        <v>3.3107929438182424</v>
      </c>
      <c r="G17" s="19">
        <f>'R0030_LFP_Averages'!G17*('R0030_LFP_Liberation'!$C$6/100)</f>
        <v>0.21493946937888483</v>
      </c>
      <c r="H17" s="19">
        <f>'R0030_LFP_Averages'!H17*('R0030_LFP_Liberation'!$C$5/100)</f>
        <v>5.9790246697440192</v>
      </c>
      <c r="I17" s="19">
        <f>'R0030_LFP_Averages'!I17*('R0030_LFP_Liberation'!$C$5/100)</f>
        <v>0.21866136152540419</v>
      </c>
      <c r="J17" s="19">
        <f>'R0030_LFP_Averages'!J17*('R0030_LFP_Liberation'!$C$4/100)</f>
        <v>12.087735053155411</v>
      </c>
      <c r="K17" s="19">
        <f>'R0030_LFP_Averages'!K17*('R0030_LFP_Liberation'!$C$4/100)</f>
        <v>0.56406510473598881</v>
      </c>
      <c r="L17" s="19">
        <f>'R0030_LFP_Averages'!L17*('R0030_LFP_Liberation'!$C$3/100)</f>
        <v>17.639177264229001</v>
      </c>
      <c r="M17" s="19">
        <f>'R0030_LFP_Averages'!M17*('R0030_LFP_Liberation'!$C$3/100)</f>
        <v>1.2229679598829035</v>
      </c>
      <c r="O17" s="19">
        <f>SUM(B17,D17,F17,H17,J17,L17)</f>
        <v>41.589716864996689</v>
      </c>
      <c r="P17" s="19">
        <f>SUM(C17,E17,G17,I17,K17,M17)</f>
        <v>2.2881849164390577</v>
      </c>
    </row>
    <row r="18" spans="1:21" x14ac:dyDescent="0.25">
      <c r="A18" s="2" t="s">
        <v>8</v>
      </c>
      <c r="B18" s="16">
        <f>'R0030_LFP_Averages'!B18*('R0030_LFP_Liberation'!$C$8/100)</f>
        <v>1.0474677499876385E-3</v>
      </c>
      <c r="C18" s="16">
        <f>('R0030_LFP_Averages'!C18)*('R0030_LFP_Liberation'!$C$8/100)</f>
        <v>8.288950664951017E-4</v>
      </c>
      <c r="D18" s="16">
        <f>'R0030_LFP_Averages'!D18*('R0030_LFP_Liberation'!$C$7/100)</f>
        <v>1.4333055762809567E-3</v>
      </c>
      <c r="E18" s="16">
        <f>'R0030_LFP_Averages'!E18*('R0030_LFP_Liberation'!$C$7/100)</f>
        <v>1.480227950564315E-3</v>
      </c>
      <c r="F18" s="16">
        <f>'R0030_LFP_Averages'!F18*('R0030_LFP_Liberation'!$C$6/100)</f>
        <v>1.7239419972346629E-2</v>
      </c>
      <c r="G18" s="16">
        <f>'R0030_LFP_Averages'!G18*('R0030_LFP_Liberation'!$C$6/100)</f>
        <v>2.2207970001051375E-2</v>
      </c>
      <c r="H18" s="16">
        <f>'R0030_LFP_Averages'!H18*('R0030_LFP_Liberation'!$C$5/100)</f>
        <v>0</v>
      </c>
      <c r="I18" s="16">
        <f>'R0030_LFP_Averages'!I18*('R0030_LFP_Liberation'!$C$5/100)</f>
        <v>0</v>
      </c>
      <c r="J18" s="16">
        <f>'R0030_LFP_Averages'!J18*('R0030_LFP_Liberation'!$C$4/100)</f>
        <v>6.8107530010699302E-2</v>
      </c>
      <c r="K18" s="16">
        <f>'R0030_LFP_Averages'!K18*('R0030_LFP_Liberation'!$C$4/100)</f>
        <v>0.11796570235655326</v>
      </c>
      <c r="L18" s="16">
        <f>'R0030_LFP_Averages'!L18*('R0030_LFP_Liberation'!$C$3/100)</f>
        <v>0.13415789467213804</v>
      </c>
      <c r="M18" s="16">
        <f>'R0030_LFP_Averages'!M18*('R0030_LFP_Liberation'!$C$3/100)</f>
        <v>0.13428870362230808</v>
      </c>
      <c r="O18" s="16">
        <f>SUM(B18,D18,F18,H18,J18,L18)</f>
        <v>0.22198561798145255</v>
      </c>
      <c r="P18" s="16">
        <f>SUM(C18,E18,G18,I18,K18,M18)</f>
        <v>0.27677149899697212</v>
      </c>
    </row>
    <row r="19" spans="1:21" x14ac:dyDescent="0.25">
      <c r="A19" s="2" t="s">
        <v>6</v>
      </c>
      <c r="B19" s="16">
        <f>'R0030_LFP_Averages'!B19*('R0030_LFP_Liberation'!$C$8/100)</f>
        <v>1.0859791617633452</v>
      </c>
      <c r="C19" s="16">
        <f>('R0030_LFP_Averages'!C19)*('R0030_LFP_Liberation'!$C$8/100)</f>
        <v>2.1773619051286497E-2</v>
      </c>
      <c r="D19" s="16">
        <f>'R0030_LFP_Averages'!D19*('R0030_LFP_Liberation'!$C$7/100)</f>
        <v>1.3362291081158044</v>
      </c>
      <c r="E19" s="16">
        <f>'R0030_LFP_Averages'!E19*('R0030_LFP_Liberation'!$C$7/100)</f>
        <v>3.519564906049464E-2</v>
      </c>
      <c r="F19" s="16">
        <f>'R0030_LFP_Averages'!F19*('R0030_LFP_Liberation'!$C$6/100)</f>
        <v>3.0074018741419741</v>
      </c>
      <c r="G19" s="16">
        <f>'R0030_LFP_Averages'!G19*('R0030_LFP_Liberation'!$C$6/100)</f>
        <v>0.18211954153395615</v>
      </c>
      <c r="H19" s="16">
        <f>'R0030_LFP_Averages'!H19*('R0030_LFP_Liberation'!$C$5/100)</f>
        <v>5.0748708180150972</v>
      </c>
      <c r="I19" s="16">
        <f>'R0030_LFP_Averages'!I19*('R0030_LFP_Liberation'!$C$5/100)</f>
        <v>0.20872105799614746</v>
      </c>
      <c r="J19" s="16">
        <f>'R0030_LFP_Averages'!J19*('R0030_LFP_Liberation'!$C$4/100)</f>
        <v>10.093573310977169</v>
      </c>
      <c r="K19" s="16">
        <f>'R0030_LFP_Averages'!K19*('R0030_LFP_Liberation'!$C$4/100)</f>
        <v>0.45711084974103672</v>
      </c>
      <c r="L19" s="16">
        <f>'R0030_LFP_Averages'!L19*('R0030_LFP_Liberation'!$C$3/100)</f>
        <v>12.272680584508487</v>
      </c>
      <c r="M19" s="16">
        <f>'R0030_LFP_Averages'!M19*('R0030_LFP_Liberation'!$C$3/100)</f>
        <v>1.9607324930248915</v>
      </c>
      <c r="O19" s="16">
        <f t="shared" ref="O19:P22" si="1">SUM(B19,D19,F19,H19,J19,L19)</f>
        <v>32.870734857521875</v>
      </c>
      <c r="P19" s="16">
        <f t="shared" si="1"/>
        <v>2.865653210407813</v>
      </c>
    </row>
    <row r="20" spans="1:21" x14ac:dyDescent="0.25">
      <c r="A20" s="2" t="s">
        <v>14</v>
      </c>
      <c r="B20" s="16">
        <f>'R0030_LFP_Averages'!B20*('R0030_LFP_Liberation'!$C$8/100)</f>
        <v>2.2745525248700159E-3</v>
      </c>
      <c r="C20" s="16">
        <f>('R0030_LFP_Averages'!C20)*('R0030_LFP_Liberation'!$C$8/100)</f>
        <v>1.6614505299523785E-3</v>
      </c>
      <c r="D20" s="16">
        <f>'R0030_LFP_Averages'!D20*('R0030_LFP_Liberation'!$C$7/100)</f>
        <v>1.1276933468509489E-2</v>
      </c>
      <c r="E20" s="16">
        <f>'R0030_LFP_Averages'!E20*('R0030_LFP_Liberation'!$C$7/100)</f>
        <v>4.5298045464467925E-3</v>
      </c>
      <c r="F20" s="16">
        <f>'R0030_LFP_Averages'!F20*('R0030_LFP_Liberation'!$C$6/100)</f>
        <v>2.2734214042166256E-2</v>
      </c>
      <c r="G20" s="16">
        <f>'R0030_LFP_Averages'!G20*('R0030_LFP_Liberation'!$C$6/100)</f>
        <v>5.8083993016550201E-3</v>
      </c>
      <c r="H20" s="16">
        <f>'R0030_LFP_Averages'!H20*('R0030_LFP_Liberation'!$C$5/100)</f>
        <v>0.13009943941470256</v>
      </c>
      <c r="I20" s="16">
        <f>'R0030_LFP_Averages'!I20*('R0030_LFP_Liberation'!$C$5/100)</f>
        <v>0.12455730676062064</v>
      </c>
      <c r="J20" s="16">
        <f>'R0030_LFP_Averages'!J20*('R0030_LFP_Liberation'!$C$4/100)</f>
        <v>0.49371270393786992</v>
      </c>
      <c r="K20" s="16">
        <f>'R0030_LFP_Averages'!K20*('R0030_LFP_Liberation'!$C$4/100)</f>
        <v>0.3166352244620943</v>
      </c>
      <c r="L20" s="16">
        <f>'R0030_LFP_Averages'!L20*('R0030_LFP_Liberation'!$C$3/100)</f>
        <v>2.5179521367226365</v>
      </c>
      <c r="M20" s="16">
        <f>'R0030_LFP_Averages'!M20*('R0030_LFP_Liberation'!$C$3/100)</f>
        <v>0.7884378816621167</v>
      </c>
      <c r="O20" s="16">
        <f t="shared" si="1"/>
        <v>3.1780499801107549</v>
      </c>
      <c r="P20" s="16">
        <f t="shared" si="1"/>
        <v>1.2416300672628857</v>
      </c>
    </row>
    <row r="21" spans="1:21" x14ac:dyDescent="0.25">
      <c r="A21" s="2" t="s">
        <v>15</v>
      </c>
      <c r="B21" s="16">
        <f>'R0030_LFP_Averages'!B21*('R0030_LFP_Liberation'!$C$8/100)</f>
        <v>2.9740603119003131E-2</v>
      </c>
      <c r="C21" s="16">
        <f>('R0030_LFP_Averages'!C21)*('R0030_LFP_Liberation'!$C$8/100)</f>
        <v>6.9539934626818081E-3</v>
      </c>
      <c r="D21" s="16">
        <f>'R0030_LFP_Averages'!D21*('R0030_LFP_Liberation'!$C$7/100)</f>
        <v>9.4470951108537565E-2</v>
      </c>
      <c r="E21" s="16">
        <f>'R0030_LFP_Averages'!E21*('R0030_LFP_Liberation'!$C$7/100)</f>
        <v>1.2602094462731743E-2</v>
      </c>
      <c r="F21" s="16">
        <f>'R0030_LFP_Averages'!F21*('R0030_LFP_Liberation'!$C$6/100)</f>
        <v>0.23698913938163615</v>
      </c>
      <c r="G21" s="16">
        <f>'R0030_LFP_Averages'!G21*('R0030_LFP_Liberation'!$C$6/100)</f>
        <v>3.2378506298053611E-2</v>
      </c>
      <c r="H21" s="16">
        <f>'R0030_LFP_Averages'!H21*('R0030_LFP_Liberation'!$C$5/100)</f>
        <v>0.70758813194995718</v>
      </c>
      <c r="I21" s="16">
        <f>'R0030_LFP_Averages'!I21*('R0030_LFP_Liberation'!$C$5/100)</f>
        <v>0.15380315247486351</v>
      </c>
      <c r="J21" s="16">
        <f>'R0030_LFP_Averages'!J21*('R0030_LFP_Liberation'!$C$4/100)</f>
        <v>1.3551236267106204</v>
      </c>
      <c r="K21" s="16">
        <f>'R0030_LFP_Averages'!K21*('R0030_LFP_Liberation'!$C$4/100)</f>
        <v>0.28725809269974895</v>
      </c>
      <c r="L21" s="16">
        <f>'R0030_LFP_Averages'!L21*('R0030_LFP_Liberation'!$C$3/100)</f>
        <v>2.2573489734105396</v>
      </c>
      <c r="M21" s="16">
        <f>'R0030_LFP_Averages'!M21*('R0030_LFP_Liberation'!$C$3/100)</f>
        <v>0.76880622324206371</v>
      </c>
      <c r="O21" s="16">
        <f t="shared" si="1"/>
        <v>4.6812614256802938</v>
      </c>
      <c r="P21" s="16">
        <f t="shared" si="1"/>
        <v>1.2618020626401434</v>
      </c>
    </row>
    <row r="22" spans="1:21" x14ac:dyDescent="0.25">
      <c r="A22" s="2" t="s">
        <v>16</v>
      </c>
      <c r="B22" s="16">
        <f>'R0030_LFP_Averages'!B22*('R0030_LFP_Liberation'!$C$8/100)</f>
        <v>4.573732225404404E-3</v>
      </c>
      <c r="C22" s="16">
        <f>('R0030_LFP_Averages'!C22)*('R0030_LFP_Liberation'!$C$8/100)</f>
        <v>1.3265749563170482E-3</v>
      </c>
      <c r="D22" s="16">
        <f>'R0030_LFP_Averages'!D22*('R0030_LFP_Liberation'!$C$7/100)</f>
        <v>5.961118398267122E-3</v>
      </c>
      <c r="E22" s="16">
        <f>'R0030_LFP_Averages'!E22*('R0030_LFP_Liberation'!$C$7/100)</f>
        <v>1.9964304465519517E-3</v>
      </c>
      <c r="F22" s="16">
        <f>'R0030_LFP_Averages'!F22*('R0030_LFP_Liberation'!$C$6/100)</f>
        <v>2.6428296280119303E-2</v>
      </c>
      <c r="G22" s="16">
        <f>'R0030_LFP_Averages'!G22*('R0030_LFP_Liberation'!$C$6/100)</f>
        <v>1.6534293125631479E-2</v>
      </c>
      <c r="H22" s="16">
        <f>'R0030_LFP_Averages'!H22*('R0030_LFP_Liberation'!$C$5/100)</f>
        <v>6.6466280364263622E-2</v>
      </c>
      <c r="I22" s="16">
        <f>'R0030_LFP_Averages'!I22*('R0030_LFP_Liberation'!$C$5/100)</f>
        <v>4.362507912276381E-2</v>
      </c>
      <c r="J22" s="16">
        <f>'R0030_LFP_Averages'!J22*('R0030_LFP_Liberation'!$C$4/100)</f>
        <v>7.7217881519052747E-2</v>
      </c>
      <c r="K22" s="16">
        <f>'R0030_LFP_Averages'!K22*('R0030_LFP_Liberation'!$C$4/100)</f>
        <v>2.0882336602212084E-2</v>
      </c>
      <c r="L22" s="16">
        <f>'R0030_LFP_Averages'!L22*('R0030_LFP_Liberation'!$C$3/100)</f>
        <v>0.45703767491520142</v>
      </c>
      <c r="M22" s="16">
        <f>'R0030_LFP_Averages'!M22*('R0030_LFP_Liberation'!$C$3/100)</f>
        <v>0.39426580378368659</v>
      </c>
      <c r="O22" s="16">
        <f t="shared" si="1"/>
        <v>0.63768498370230864</v>
      </c>
      <c r="P22" s="16">
        <f t="shared" si="1"/>
        <v>0.47863051803716294</v>
      </c>
    </row>
    <row r="24" spans="1:21" x14ac:dyDescent="0.25">
      <c r="A24" t="s">
        <v>109</v>
      </c>
      <c r="F24" t="s">
        <v>76</v>
      </c>
      <c r="O24" s="16"/>
    </row>
    <row r="25" spans="1:21" x14ac:dyDescent="0.25">
      <c r="A25" t="s">
        <v>110</v>
      </c>
      <c r="B25" s="46">
        <v>1</v>
      </c>
      <c r="C25" s="47">
        <f>B25</f>
        <v>1</v>
      </c>
      <c r="D25" s="45">
        <v>2</v>
      </c>
      <c r="E25" s="47">
        <f>D25</f>
        <v>2</v>
      </c>
      <c r="F25" s="45">
        <v>2.8</v>
      </c>
      <c r="G25" s="47">
        <f>F25</f>
        <v>2.8</v>
      </c>
      <c r="H25" s="45">
        <v>4</v>
      </c>
      <c r="I25" s="47">
        <f>H25</f>
        <v>4</v>
      </c>
      <c r="J25" s="45">
        <v>5.6</v>
      </c>
      <c r="K25" s="47">
        <f>J25</f>
        <v>5.6</v>
      </c>
      <c r="L25" s="45">
        <v>8</v>
      </c>
      <c r="M25" s="47">
        <f>L25</f>
        <v>8</v>
      </c>
      <c r="O25" s="16" t="s">
        <v>111</v>
      </c>
      <c r="S25" t="s">
        <v>112</v>
      </c>
      <c r="U25" t="s">
        <v>113</v>
      </c>
    </row>
    <row r="26" spans="1:21" x14ac:dyDescent="0.25">
      <c r="A26" s="2" t="s">
        <v>77</v>
      </c>
      <c r="B26">
        <f>(B8+B9+($L$40+$L$41)*B7)/B4</f>
        <v>0.87269381809390822</v>
      </c>
      <c r="C26" s="48">
        <f>(SQRT(SUMSQ(
(100*(C4/B4)),
(100*(SQRT(SUMSQ(C8,C9)))/(B8+B9))
)))
*0.01*((B8+B9)/B4)</f>
        <v>0.15635834348534794</v>
      </c>
      <c r="D26">
        <f>(D8+D9+($L$40+$L$41)*D7)/D4</f>
        <v>0.91312068044934569</v>
      </c>
      <c r="E26" s="48">
        <f>(SQRT(SUMSQ(
(100*(E4/D4)),
(100*(SQRT(SUMSQ(E8,E9)))/(D8+D9))
)))
*0.01*((D8+D9)/D4)</f>
        <v>0.15434364588592608</v>
      </c>
      <c r="F26">
        <f>(F8+F9+($L$40+$L$41)*F7)/F4</f>
        <v>0.96184794394850504</v>
      </c>
      <c r="G26" s="48">
        <f>(SQRT(SUMSQ(
(100*(G4/F4)),
(100*(SQRT(SUMSQ(G8,G9)))/(F8+F9))
)))
*0.01*((F8+F9)/F4)</f>
        <v>0.2232562986860972</v>
      </c>
      <c r="H26">
        <f>(H8+H9+($L$40+$L$41)*H7)/H4</f>
        <v>0.89565692522956386</v>
      </c>
      <c r="I26" s="48">
        <f>(SQRT(SUMSQ(
(100*(I4/H4)),
(100*(SQRT(SUMSQ(I8,I9)))/(H8+H9))
)))
*0.01*((H8+H9)/H4)</f>
        <v>0.12605503687443445</v>
      </c>
      <c r="J26">
        <f>(J8+J9+($L$40+$L$41)*J7)/J4</f>
        <v>0.88297260164004221</v>
      </c>
      <c r="K26" s="48">
        <f>(SQRT(SUMSQ(
(100*(K4/J4)),
(100*(SQRT(SUMSQ(K8,K9)))/(J8+J9))
)))
*0.01*((J8+J9)/J4)</f>
        <v>0.42743131688154345</v>
      </c>
      <c r="L26">
        <f>(L8+L9+($L$40+$L$41)*L7)/L4</f>
        <v>0.95002491205994966</v>
      </c>
      <c r="M26" s="48">
        <f>(SQRT(SUMSQ(
(100*(M4/L4)),
(100*(SQRT(SUMSQ(M8,M9)))/(L8+L9))
)))
*0.01*((L8+L9)/L4)</f>
        <v>0.18177655199671922</v>
      </c>
      <c r="O26">
        <f>(O8+O9+($L$40+$L$41)*O7)/O4</f>
        <v>0.91572134103598524</v>
      </c>
      <c r="P26" s="48">
        <f>(SQRT(SUMSQ(
(100*(P4/O4)),
(100*(SQRT(SUMSQ(P8,P9)))/(O8+O9))
)))
*0.01*((O8+O9)/O4)</f>
        <v>0.25398146762773199</v>
      </c>
      <c r="S26">
        <f>(L40+L41)*(O85+O86)/(O85+O86)</f>
        <v>0.42057056064498471</v>
      </c>
    </row>
    <row r="27" spans="1:21" x14ac:dyDescent="0.25">
      <c r="A27" s="2" t="s">
        <v>45</v>
      </c>
      <c r="B27">
        <f>(B12+B14*$L$38)/B11</f>
        <v>0.96418557250595838</v>
      </c>
      <c r="C27" s="48">
        <f>(SQRT(SUMSQ(
(100*C11/B11),
(100*C12/B12)
)))
*0.01*(B12/B11)</f>
        <v>1.9284496131147816E-2</v>
      </c>
      <c r="D27">
        <f>(D12+D14*$L$38)/D11</f>
        <v>0.95087629453645073</v>
      </c>
      <c r="E27" s="48">
        <f>(SQRT(SUMSQ(
(100*E11/D11),
(100*E12/D12)
)))
*0.01*(D12/D11)</f>
        <v>3.077777821344271E-2</v>
      </c>
      <c r="F27">
        <f>(F12+F14*$L$38)/F11</f>
        <v>0.88932000664704458</v>
      </c>
      <c r="G27" s="48">
        <f>(SQRT(SUMSQ(
(100*G11/F11),
(100*G12/F12)
)))
*0.01*(F12/F11)</f>
        <v>4.2395926455926332E-2</v>
      </c>
      <c r="H27">
        <f>(H12+H14*$L$38)/H11</f>
        <v>0.90992282758828635</v>
      </c>
      <c r="I27" s="48">
        <f>(SQRT(SUMSQ(
(100*I11/H11),
(100*I12/H12)
)))
*0.01*(H12/H11)</f>
        <v>4.5454076232638807E-2</v>
      </c>
      <c r="J27">
        <f>(J12+J14*$L$38)/J11</f>
        <v>0.88004678632749433</v>
      </c>
      <c r="K27" s="48">
        <f>(SQRT(SUMSQ(
(100*K11/J11),
(100*K12/J12)
)))
*0.01*(J12/J11)</f>
        <v>8.7976689228007193E-2</v>
      </c>
      <c r="L27">
        <f>(L12+L14*$L$38)/L11</f>
        <v>0.85551602565488338</v>
      </c>
      <c r="M27" s="48">
        <f>(SQRT(SUMSQ(
(100*M11/L11),
(100*M12/L12)
)))
*0.01*(L12/L11)</f>
        <v>7.2864483029171798E-2</v>
      </c>
      <c r="O27">
        <f>(O12+O14*$L$38)/O11</f>
        <v>0.88580957495214074</v>
      </c>
      <c r="P27" s="48">
        <f>(SQRT(SUMSQ(
(100*P11/O11),
(100*P12/O12)
)))
*0.01*(O12/O11)</f>
        <v>6.4373660135620209E-2</v>
      </c>
      <c r="S27">
        <f>(L38)*(O85+O86)/(O85+O86)</f>
        <v>-9.911751613914653E-2</v>
      </c>
    </row>
    <row r="28" spans="1:21" x14ac:dyDescent="0.25">
      <c r="A28" s="2" t="s">
        <v>46</v>
      </c>
      <c r="B28">
        <f>(B19+B20*$L$39)/B17</f>
        <v>0.96787783332462429</v>
      </c>
      <c r="C28" s="48">
        <f>(SQRT(SUMSQ(
(100*C17/B17),
(100*C19/B19)
)))
*0.01*(B19/B17)</f>
        <v>2.7821859524001395E-2</v>
      </c>
      <c r="D28">
        <f>(D19+D20*$L$39)/D17</f>
        <v>0.927216461932314</v>
      </c>
      <c r="E28" s="48">
        <f>(SQRT(SUMSQ(
(100*E17/D17),
(100*E19/D19)
)))
*0.01*(D19/D17)</f>
        <v>3.7219016649316483E-2</v>
      </c>
      <c r="F28">
        <f>(F19+F20*$L$39)/F17</f>
        <v>0.91302239589157097</v>
      </c>
      <c r="G28" s="48">
        <f>(SQRT(SUMSQ(
(100*G17/F17),
(100*G19/F19)
)))
*0.01*(F19/F17)</f>
        <v>8.064441796692437E-2</v>
      </c>
      <c r="H28">
        <f>(H19+H20*$L$39)/H17</f>
        <v>0.86354375198831412</v>
      </c>
      <c r="I28" s="48">
        <f>(SQRT(SUMSQ(
(100*I17/H17),
(100*I19/H19)
)))
*0.01*(H19/H17)</f>
        <v>4.6713771897172705E-2</v>
      </c>
      <c r="J28">
        <f>(J19+J20*$L$39)/J17</f>
        <v>0.86274066376071834</v>
      </c>
      <c r="K28" s="48">
        <f>(SQRT(SUMSQ(
(100*K17/J17),
(100*K19/J19)
)))
*0.01*(J19/J17)</f>
        <v>5.4299125708176937E-2</v>
      </c>
      <c r="L28">
        <f>(L19+L20*$L$39)/L17</f>
        <v>0.79262366557847297</v>
      </c>
      <c r="M28" s="48">
        <f>(SQRT(SUMSQ(
(100*M17/L17),
(100*M19/L19)
)))
*0.01*(L19/L17)</f>
        <v>0.1211736663911797</v>
      </c>
      <c r="O28">
        <f>(O19+O20*$L$39)/O17</f>
        <v>0.84220796957178568</v>
      </c>
      <c r="P28" s="48">
        <f>(SQRT(SUMSQ(
(100*P17/O17),
(100*P19/O19)
)))
*0.01*(O19/O17)</f>
        <v>8.1476768886824924E-2</v>
      </c>
      <c r="S28">
        <f>(L39)*(O85+O86)/(O85+O86)</f>
        <v>0.67854695549416189</v>
      </c>
    </row>
    <row r="29" spans="1:21" x14ac:dyDescent="0.25">
      <c r="F29" t="s">
        <v>76</v>
      </c>
    </row>
    <row r="30" spans="1:21" x14ac:dyDescent="0.25">
      <c r="A30" t="s">
        <v>114</v>
      </c>
      <c r="B30" s="46">
        <v>1</v>
      </c>
      <c r="C30" s="47">
        <f>B30</f>
        <v>1</v>
      </c>
      <c r="D30" s="45">
        <v>2</v>
      </c>
      <c r="E30" s="47">
        <f>D30</f>
        <v>2</v>
      </c>
      <c r="F30" s="45">
        <v>2.8</v>
      </c>
      <c r="G30" s="47">
        <f>F30</f>
        <v>2.8</v>
      </c>
      <c r="H30" s="45">
        <v>4</v>
      </c>
      <c r="I30" s="47">
        <f>H30</f>
        <v>4</v>
      </c>
      <c r="J30" s="45">
        <v>5.6</v>
      </c>
      <c r="K30" s="47">
        <f>J30</f>
        <v>5.6</v>
      </c>
      <c r="L30" s="45">
        <v>8</v>
      </c>
      <c r="M30" s="47">
        <f>L30</f>
        <v>8</v>
      </c>
      <c r="O30" t="s">
        <v>115</v>
      </c>
      <c r="Q30" t="s">
        <v>116</v>
      </c>
    </row>
    <row r="31" spans="1:21" x14ac:dyDescent="0.25">
      <c r="A31" s="2" t="s">
        <v>77</v>
      </c>
      <c r="B31">
        <f>(B9+B8)/(B8+B9+B15+B16+B21+B22+(B20+B14+B7)*($L$40+$L$41))</f>
        <v>0.6232758727876534</v>
      </c>
      <c r="C31" s="48">
        <f>SQRT(SUMSQ((100*(SQRT(SUMSQ(C8,C9,C15,C16,C21,C22)))/(B8+B9+B15+B16+B21+B22)),(100*(SQRT(SUMSQ(C8,C9)))/(B9+B8))))*0.01*((B8+B9)/(B8+B9+B15+B16+B21+B22))</f>
        <v>8.3070422446187925E-2</v>
      </c>
      <c r="D31">
        <f>(D9+D8)/(D8+D9+D15+D16+D21+D22+(D20+D14+D7)*($L$40+$L$41))</f>
        <v>0.40449861596338788</v>
      </c>
      <c r="E31" s="48">
        <f>SQRT(SUMSQ((100*(SQRT(SUMSQ(E8,E9,E15,E16,E21,E22)))/(D8+D9+D15+D16+D21+D22)),(100*(SQRT(SUMSQ(E8,E9)))/(D9+D8))))*0.01*((D8+D9)/(D8+D9+D15+D16+D21+D22))</f>
        <v>6.1291396880154551E-2</v>
      </c>
      <c r="F31">
        <f>(F9+F8)/(F8+F9+F15+F16+F21+F22+(F20+F14+F7)*($L$40+$L$41))</f>
        <v>0.29784889524652769</v>
      </c>
      <c r="G31" s="48">
        <f>SQRT(SUMSQ((100*(SQRT(SUMSQ(G8,G9,G15,G16,G21,G22)))/(F8+F9+F15+F16+F21+F22)),(100*(SQRT(SUMSQ(G8,G9)))/(F9+F8))))*0.01*((F8+F9)/(F8+F9+F15+F16+F21+F22))</f>
        <v>5.9827683765978378E-2</v>
      </c>
      <c r="H31">
        <f>(H9+H8)/(H8+H9+H15+H16+H21+H22+(H20+H14+H7)*($L$40+$L$41))</f>
        <v>0.3272972760455406</v>
      </c>
      <c r="I31" s="48">
        <f>SQRT(SUMSQ((100*(SQRT(SUMSQ(I8,I9,I15,I16,I21,I22)))/(H8+H9+H15+H16+H21+H22)),(100*(SQRT(SUMSQ(I8,I9)))/(H9+H8))))*0.01*((H8+H9)/(H8+H9+H15+H16+H21+H22))</f>
        <v>4.8901548929706495E-2</v>
      </c>
      <c r="J31">
        <f>(J9+J8)/(J8+J9+J15+J16+J21+J22+(J20+J14+J7)*($L$40+$L$41))</f>
        <v>0.32635309012063984</v>
      </c>
      <c r="K31" s="48">
        <f>SQRT(SUMSQ((100*(SQRT(SUMSQ(K8,K9,K15,K16,K21,K22)))/(J8+J9+J15+J16+J21+J22)),(100*(SQRT(SUMSQ(K8,K9)))/(J9+J8))))*0.01*((J8+J9)/(J8+J9+J15+J16+J21+J22))</f>
        <v>0.15534366783960452</v>
      </c>
      <c r="L31">
        <f>(L9+L8)/(L8+L9+L15+L16+L21+L22+(L20+L14+L7)*($L$40+$L$41))</f>
        <v>0.20606165690312092</v>
      </c>
      <c r="M31" s="48">
        <f>SQRT(SUMSQ((100*(SQRT(SUMSQ(M8,M9,M15,M16,M21,M22)))/(L8+L9+L15+L16+L21+L22)),(100*(SQRT(SUMSQ(M8,M9)))/(L9+L8))))*0.01*((L8+L9)/(L8+L9+L15+L16+L21+L22))</f>
        <v>7.4512821682635039E-2</v>
      </c>
      <c r="O31">
        <f>(O9+O8)/(O8+O9+O15+O16+O21+O22+(O20+O14+O7)*($L$40+$L$41))</f>
        <v>0.26810449942462372</v>
      </c>
      <c r="P31" s="48">
        <f>SQRT(SUMSQ((100*(SQRT(SUMSQ(P8,P9,P15,P16,P21,P22)))/(O8+O9+O15+O16+O21+O22)),(100*(SQRT(SUMSQ(P8,P9)))/(O9+O8))))*0.01*((O8+O9)/(O8+O9+O15+O16+O21+O22))</f>
        <v>8.3801892676453701E-2</v>
      </c>
      <c r="Q31">
        <f>(O9+O8)/(O8+O9+O15+O16+O21+O22+(O20+O14+O7)*($L$40+$L$41)+(L40+L41)*(O85+O86))</f>
        <v>0.20449941367287985</v>
      </c>
    </row>
    <row r="32" spans="1:21" x14ac:dyDescent="0.25">
      <c r="A32" s="2" t="s">
        <v>45</v>
      </c>
      <c r="B32">
        <f>B12/(B5+B12+B18+(B7+B14+B20)*$L$38)</f>
        <v>0.9979051747555594</v>
      </c>
      <c r="C32" s="48">
        <f>(SQRT(SUMSQ((100*((SQRT(SUMSQ(C5,C12,C18)))/(B5+B12+B18))),(100*C12/B12))))*(C12/(C5+C12+C18))*0.01</f>
        <v>1.794301401917189E-2</v>
      </c>
      <c r="D32">
        <f>D12/(D5+D12+D18+(D7+D14+D20)*$L$38)</f>
        <v>0.99908087300799464</v>
      </c>
      <c r="E32" s="48">
        <f>(SQRT(SUMSQ((100*((SQRT(SUMSQ(E5,E12,E18)))/(D5+D12+D18))),(100*E12/D12))))*(E12/(E5+E12+E18))*0.01</f>
        <v>3.6163735084582802E-2</v>
      </c>
      <c r="F32">
        <f>F12/(F5+F12+F18+(F7+F14+F20)*$L$38)</f>
        <v>0.99735277592765081</v>
      </c>
      <c r="G32" s="48">
        <f>(SQRT(SUMSQ((100*((SQRT(SUMSQ(G5,G12,G18)))/(F5+F12+F18))),(100*G12/F12))))*(G12/(G5+G12+G18))*0.01</f>
        <v>1.6782608110345737E-2</v>
      </c>
      <c r="H32">
        <f>H12/(H5+H12+H18+(H7+H14+H20)*$L$38)</f>
        <v>1.0000453532610813</v>
      </c>
      <c r="I32" s="48">
        <f>(SQRT(SUMSQ((100*((SQRT(SUMSQ(I5,I12,I18)))/(H5+H12+H18))),(100*I12/H12))))*(I12/(I5+I12+I18))*0.01</f>
        <v>5.5020529800726803E-2</v>
      </c>
      <c r="J32">
        <f>J12/(J5+J12+J18+(J7+J14+J20)*$L$38)</f>
        <v>1.0001138115578072</v>
      </c>
      <c r="K32" s="48">
        <f>(SQRT(SUMSQ((100*((SQRT(SUMSQ(K5,K12,K18)))/(J5+J12+J18))),(100*K12/J12))))*(K12/(K5+K12+K18))*0.01</f>
        <v>7.7828090847364598E-2</v>
      </c>
      <c r="L32">
        <f>L12/(L5+L12+L18+(L7+L14+L20)*$L$38)</f>
        <v>1.016173377770788</v>
      </c>
      <c r="M32" s="48">
        <f>(SQRT(SUMSQ((100*((SQRT(SUMSQ(M5,M12,M18)))/(L5+L12+L18))),(100*M12/L12))))*(M12/(M5+M12+M18))*0.01</f>
        <v>4.3905623760963859E-2</v>
      </c>
      <c r="N32" t="str">
        <f>IF(V45=M32,"yes","no")</f>
        <v>no</v>
      </c>
      <c r="O32">
        <f>O12/(O5+O12+O18+(O7+O14+O20)*$L$38)</f>
        <v>1.0045101565451</v>
      </c>
      <c r="P32" s="48">
        <f>(SQRT(SUMSQ((100*((SQRT(SUMSQ(P5,P12,P18)))/(O5+O12+O18))),(100*P12/O12))))*(P12/(P5+P12+P18))*0.01</f>
        <v>5.117623493746036E-2</v>
      </c>
      <c r="Q32">
        <f>O12/(O5+O12+O18+(O7+O14+O20)*$L$38+(L38*(O85+O86)))</f>
        <v>1.0270643214084143</v>
      </c>
    </row>
    <row r="33" spans="1:17" x14ac:dyDescent="0.25">
      <c r="A33" s="2" t="s">
        <v>46</v>
      </c>
      <c r="B33">
        <f>B19/(B6+B13+B19+(B7+B14+B20)*$L$39)</f>
        <v>0.93929056666535859</v>
      </c>
      <c r="C33" s="48">
        <f>(SQRT(SUMSQ((100*((SQRT(SUMSQ(C6,C13,C19)))/(B6+B13+B19))),(100*C19/B19))))*(C19/(C6+C13+C19))*0.01</f>
        <v>1.9209343960784324E-2</v>
      </c>
      <c r="D33">
        <f>D19/(D6+D13+D19+(D7+D14+D20)*$L$39)</f>
        <v>0.93267313209657876</v>
      </c>
      <c r="E33" s="48">
        <f>(SQRT(SUMSQ((100*((SQRT(SUMSQ(E6,E13,E19)))/(D6+D13+D19))),(100*E19/D19))))*(E19/(E6+E13+E19))*0.01</f>
        <v>2.1524873442839727E-2</v>
      </c>
      <c r="F33">
        <f>F19/(F6+F13+F19+(F7+F14+F20)*$L$39)</f>
        <v>0.90190083595054926</v>
      </c>
      <c r="G33" s="48">
        <f>(SQRT(SUMSQ((100*((SQRT(SUMSQ(G6,G13,G19)))/(F6+F13+F19))),(100*G19/F19))))*(G19/(G6+G13+G19))*0.01</f>
        <v>5.2409576958564796E-2</v>
      </c>
      <c r="H33">
        <f>H19/(H6+H13+H19+(H7+H14+H20)*$L$39)</f>
        <v>0.89536974516005541</v>
      </c>
      <c r="I33" s="48">
        <f>(SQRT(SUMSQ((100*((SQRT(SUMSQ(I6,I13,I19)))/(H6+H13+H19))),(100*I19/H19))))*(I19/(I6+I13+I19))*0.01</f>
        <v>3.7683141182387726E-2</v>
      </c>
      <c r="J33">
        <f>J19/(J6+J13+J19+(J7+J14+J20)*$L$39)</f>
        <v>0.86478232995588122</v>
      </c>
      <c r="K33" s="48">
        <f>(SQRT(SUMSQ((100*((SQRT(SUMSQ(K6,K13,K19)))/(J6+J13+J19))),(100*K19/J19))))*(K19/(K6+K13+K19))*0.01</f>
        <v>4.5185263838393372E-2</v>
      </c>
      <c r="L33">
        <f>L19/(L6+L13+L19+(L7+L14+L20)*$L$39)</f>
        <v>0.81899983639992258</v>
      </c>
      <c r="M33" s="48">
        <f>(SQRT(SUMSQ((100*((SQRT(SUMSQ(M6,M13,M19)))/(L6+L13+L19))),(100*M19/L19))))*(M19/(M6+M13+M19))*0.01</f>
        <v>0.19358177220775644</v>
      </c>
      <c r="O33">
        <f>O19/(O6+O13+O19+(O7+O14+O20)*$L$39)</f>
        <v>0.85940951595783932</v>
      </c>
      <c r="P33" s="48">
        <f>(SQRT(SUMSQ((100*((SQRT(SUMSQ(P6,P13,P19)))/(O6+O13+O19))),(100*P19/O19))))*(P19/(P6+P13+P19))*0.01</f>
        <v>9.5470382879504448E-2</v>
      </c>
      <c r="Q33">
        <f>O19/(O6+O13+O19+(O7+O14+O20)*$L$39+L39*(O85+O86))</f>
        <v>0.74114959021796678</v>
      </c>
    </row>
    <row r="36" spans="1:17" x14ac:dyDescent="0.25">
      <c r="A36" s="41"/>
      <c r="B36" t="s">
        <v>62</v>
      </c>
    </row>
    <row r="37" spans="1:17" x14ac:dyDescent="0.25">
      <c r="A37" s="41"/>
      <c r="B37" t="s">
        <v>86</v>
      </c>
      <c r="C37" t="s">
        <v>63</v>
      </c>
      <c r="D37" t="s">
        <v>87</v>
      </c>
      <c r="E37" t="s">
        <v>63</v>
      </c>
      <c r="G37" t="s">
        <v>88</v>
      </c>
      <c r="I37" t="s">
        <v>89</v>
      </c>
      <c r="L37" t="str">
        <f>G37</f>
        <v>Cell Ratio</v>
      </c>
    </row>
    <row r="38" spans="1:17" x14ac:dyDescent="0.25">
      <c r="A38" s="41" t="s">
        <v>45</v>
      </c>
      <c r="B38">
        <f t="shared" ref="B38:E41" si="2">I83</f>
        <v>0.30639268587718504</v>
      </c>
      <c r="C38">
        <f t="shared" si="2"/>
        <v>1.1295973339109586</v>
      </c>
      <c r="D38">
        <f t="shared" si="2"/>
        <v>8.9521727750988447</v>
      </c>
      <c r="E38">
        <f t="shared" si="2"/>
        <v>1.8260637187042248</v>
      </c>
      <c r="G38">
        <f>B38/SUM(B$38:B$41)</f>
        <v>-9.911751613914653E-2</v>
      </c>
      <c r="H38">
        <f>SQRT((SQRT(SUMSQ(C$38:C$41))/SUM(B$38:B$41))^2+(C38/B38)^2)*G38</f>
        <v>-0.3753503825500471</v>
      </c>
      <c r="I38">
        <f>D38/SUM(D$38:D$41)</f>
        <v>0.63137103859559163</v>
      </c>
      <c r="J38">
        <f>SQRT((SQRT(SUMSQ(E$38:E$41))/SUM(D$38:D$41))^2+(E38/D38)^2)*I38</f>
        <v>0.2993629018751286</v>
      </c>
      <c r="L38" s="42">
        <f>G38</f>
        <v>-9.911751613914653E-2</v>
      </c>
      <c r="M38">
        <f>H38</f>
        <v>-0.3753503825500471</v>
      </c>
    </row>
    <row r="39" spans="1:17" x14ac:dyDescent="0.25">
      <c r="A39" s="41" t="s">
        <v>46</v>
      </c>
      <c r="B39">
        <f t="shared" si="2"/>
        <v>-2.0975285931881018</v>
      </c>
      <c r="C39">
        <f t="shared" si="2"/>
        <v>2.0643887812295305</v>
      </c>
      <c r="D39">
        <f t="shared" si="2"/>
        <v>4.7146009512295919</v>
      </c>
      <c r="E39">
        <f t="shared" si="2"/>
        <v>2.4586601468889602</v>
      </c>
      <c r="G39">
        <f>B39/SUM(B$38:B$41)</f>
        <v>0.67854695549416189</v>
      </c>
      <c r="H39">
        <f>SQRT((SQRT(SUMSQ(C$38:C$41))/SUM(B$38:B$41))^2+(C39/B39)^2)*G39</f>
        <v>0.88918416151246871</v>
      </c>
      <c r="I39">
        <f>D39/SUM(D$38:D$41)</f>
        <v>0.33250726655113344</v>
      </c>
      <c r="J39">
        <f>SQRT((SQRT(SUMSQ(E$38:E$41))/SUM(D$38:D$41))^2+(E39/D39)^2)*I39</f>
        <v>0.22433011171601347</v>
      </c>
      <c r="L39" s="42">
        <f t="shared" ref="L39:M41" si="3">G39</f>
        <v>0.67854695549416189</v>
      </c>
      <c r="M39">
        <f t="shared" si="3"/>
        <v>0.88918416151246871</v>
      </c>
    </row>
    <row r="40" spans="1:17" x14ac:dyDescent="0.25">
      <c r="A40" s="41" t="s">
        <v>47</v>
      </c>
      <c r="B40">
        <f t="shared" si="2"/>
        <v>-1.6580067557040081</v>
      </c>
      <c r="C40">
        <f t="shared" si="2"/>
        <v>1.1728289621175947</v>
      </c>
      <c r="D40">
        <f t="shared" si="2"/>
        <v>-0.65445959105069029</v>
      </c>
      <c r="E40">
        <f t="shared" si="2"/>
        <v>1.7400585956600401</v>
      </c>
      <c r="G40">
        <f>B40/SUM(B$38:B$41)</f>
        <v>0.53636238377171752</v>
      </c>
      <c r="H40">
        <f>SQRT((SQRT(SUMSQ(C$38:C$41))/SUM(B$38:B$41))^2+(C40/B40)^2)*G40</f>
        <v>0.59941621807901546</v>
      </c>
      <c r="I40">
        <f>D40/SUM(D$38:D$41)</f>
        <v>-4.6157155598011583E-2</v>
      </c>
      <c r="J40">
        <f>SQRT((SQRT(SUMSQ(E$38:E$41))/SUM(D$38:D$41))^2+(E40/D40)^2)*I40</f>
        <v>-0.12430143841420091</v>
      </c>
      <c r="L40" s="42">
        <f t="shared" si="3"/>
        <v>0.53636238377171752</v>
      </c>
      <c r="M40">
        <f t="shared" si="3"/>
        <v>0.59941621807901546</v>
      </c>
    </row>
    <row r="41" spans="1:17" x14ac:dyDescent="0.25">
      <c r="A41" s="41" t="s">
        <v>48</v>
      </c>
      <c r="B41">
        <f t="shared" si="2"/>
        <v>0.35793640793631276</v>
      </c>
      <c r="C41">
        <f t="shared" si="2"/>
        <v>0.4895809236082293</v>
      </c>
      <c r="D41">
        <f t="shared" si="2"/>
        <v>1.166626975185395</v>
      </c>
      <c r="E41">
        <f t="shared" si="2"/>
        <v>4.9421883413457017</v>
      </c>
      <c r="G41">
        <f>B41/SUM(B$38:B$41)</f>
        <v>-0.11579182312673281</v>
      </c>
      <c r="H41">
        <f>SQRT((SQRT(SUMSQ(C$38:C$41))/SUM(B$38:B$41))^2+(C41/B41)^2)*G41</f>
        <v>-0.18740407113198046</v>
      </c>
      <c r="I41">
        <f>D41/SUM(D$38:D$41)</f>
        <v>8.2278850451286509E-2</v>
      </c>
      <c r="J41">
        <f>SQRT((SQRT(SUMSQ(E$38:E$41))/SUM(D$38:D$41))^2+(E41/D41)^2)*I41</f>
        <v>0.35033299435708565</v>
      </c>
      <c r="L41" s="42">
        <f t="shared" si="3"/>
        <v>-0.11579182312673281</v>
      </c>
      <c r="M41">
        <f t="shared" si="3"/>
        <v>-0.18740407113198046</v>
      </c>
    </row>
    <row r="44" spans="1:17" x14ac:dyDescent="0.25">
      <c r="A44" s="53" t="s">
        <v>75</v>
      </c>
      <c r="B44" s="54">
        <f>B25</f>
        <v>1</v>
      </c>
      <c r="C44" s="55">
        <f>D25</f>
        <v>2</v>
      </c>
      <c r="D44" s="55">
        <f>F25</f>
        <v>2.8</v>
      </c>
      <c r="E44" s="55">
        <f>H25</f>
        <v>4</v>
      </c>
      <c r="F44" s="55">
        <f>J25</f>
        <v>5.6</v>
      </c>
      <c r="G44" s="55">
        <f>L25</f>
        <v>8</v>
      </c>
    </row>
    <row r="45" spans="1:17" x14ac:dyDescent="0.25">
      <c r="A45" s="2" t="str">
        <f>A26</f>
        <v>Insulators</v>
      </c>
      <c r="B45" s="51">
        <f>B26*100</f>
        <v>87.269381809390822</v>
      </c>
      <c r="C45" s="52">
        <f>D26*100</f>
        <v>91.312068044934563</v>
      </c>
      <c r="D45" s="52">
        <f>F26*100</f>
        <v>96.184794394850499</v>
      </c>
      <c r="E45" s="52">
        <f>H26*100</f>
        <v>89.565692522956383</v>
      </c>
      <c r="F45" s="52">
        <f>J26*100</f>
        <v>88.297260164004214</v>
      </c>
      <c r="G45" s="52">
        <f>L26*100</f>
        <v>95.002491205994971</v>
      </c>
      <c r="I45" s="52"/>
      <c r="J45" s="52">
        <f>O26*100</f>
        <v>91.572134103598529</v>
      </c>
    </row>
    <row r="46" spans="1:17" x14ac:dyDescent="0.25">
      <c r="A46" s="2" t="str">
        <f>A27</f>
        <v>Cathode</v>
      </c>
      <c r="B46" s="51">
        <f>B27*100</f>
        <v>96.418557250595839</v>
      </c>
      <c r="C46" s="52">
        <f>D27*100</f>
        <v>95.087629453645079</v>
      </c>
      <c r="D46" s="52">
        <f>F27*100</f>
        <v>88.932000664704461</v>
      </c>
      <c r="E46" s="52">
        <f>H27*100</f>
        <v>90.992282758828637</v>
      </c>
      <c r="F46" s="52">
        <f>J27*100</f>
        <v>88.004678632749432</v>
      </c>
      <c r="G46" s="52">
        <f>L27*100</f>
        <v>85.551602565488338</v>
      </c>
      <c r="J46" s="52">
        <f>O27*100</f>
        <v>88.580957495214079</v>
      </c>
      <c r="L46">
        <f>0.87*J46</f>
        <v>77.065433020836252</v>
      </c>
    </row>
    <row r="47" spans="1:17" x14ac:dyDescent="0.25">
      <c r="A47" s="2" t="str">
        <f>A28</f>
        <v>Anode</v>
      </c>
      <c r="B47" s="51">
        <f>B28*100</f>
        <v>96.787783332462425</v>
      </c>
      <c r="C47" s="52">
        <f>D28*100</f>
        <v>92.721646193231393</v>
      </c>
      <c r="D47" s="52">
        <f>F28*100</f>
        <v>91.302239589157097</v>
      </c>
      <c r="E47" s="52">
        <f>H28*100</f>
        <v>86.354375198831406</v>
      </c>
      <c r="F47" s="52">
        <f>J28*100</f>
        <v>86.274066376071829</v>
      </c>
      <c r="G47" s="52">
        <f>L28*100</f>
        <v>79.262366557847301</v>
      </c>
      <c r="J47" s="52">
        <f>O28*100</f>
        <v>84.220796957178564</v>
      </c>
    </row>
    <row r="48" spans="1:17" x14ac:dyDescent="0.25">
      <c r="B48" s="52"/>
      <c r="C48" s="52"/>
      <c r="D48" s="52"/>
      <c r="E48" s="52"/>
      <c r="F48" s="52"/>
      <c r="G48" s="52"/>
    </row>
    <row r="49" spans="1:12" x14ac:dyDescent="0.25">
      <c r="A49" s="53" t="s">
        <v>78</v>
      </c>
      <c r="B49" s="54">
        <f>B30</f>
        <v>1</v>
      </c>
      <c r="C49" s="55">
        <f>D30</f>
        <v>2</v>
      </c>
      <c r="D49" s="55">
        <f>F30</f>
        <v>2.8</v>
      </c>
      <c r="E49" s="55">
        <f>H30</f>
        <v>4</v>
      </c>
      <c r="F49" s="55">
        <f>J30</f>
        <v>5.6</v>
      </c>
      <c r="G49" s="55">
        <f>L30</f>
        <v>8</v>
      </c>
    </row>
    <row r="50" spans="1:12" x14ac:dyDescent="0.25">
      <c r="A50" s="2" t="str">
        <f>A31</f>
        <v>Insulators</v>
      </c>
      <c r="B50" s="51">
        <f>B31*100</f>
        <v>62.327587278765343</v>
      </c>
      <c r="C50" s="52">
        <f>D31*100</f>
        <v>40.449861596338785</v>
      </c>
      <c r="D50" s="52">
        <f>F31*100</f>
        <v>29.784889524652769</v>
      </c>
      <c r="E50" s="52">
        <f>H31*100</f>
        <v>32.729727604554057</v>
      </c>
      <c r="F50" s="52">
        <f>J31*100</f>
        <v>32.635309012063985</v>
      </c>
      <c r="G50" s="52">
        <f>L31*100</f>
        <v>20.606165690312093</v>
      </c>
      <c r="J50" s="52">
        <f>O31*100</f>
        <v>26.810449942462373</v>
      </c>
    </row>
    <row r="51" spans="1:12" x14ac:dyDescent="0.25">
      <c r="A51" s="2" t="str">
        <f>A32</f>
        <v>Cathode</v>
      </c>
      <c r="B51" s="51">
        <f t="shared" ref="B51:B52" si="4">B32*100</f>
        <v>99.790517475555944</v>
      </c>
      <c r="C51" s="52">
        <f>D32*100</f>
        <v>99.908087300799465</v>
      </c>
      <c r="D51" s="52">
        <f>F32*100</f>
        <v>99.735277592765087</v>
      </c>
      <c r="E51" s="52">
        <f>H32*100</f>
        <v>100.00453532610814</v>
      </c>
      <c r="F51" s="52">
        <f>J32*100</f>
        <v>100.01138115578073</v>
      </c>
      <c r="G51" s="52">
        <f>L32*100</f>
        <v>101.6173377770788</v>
      </c>
      <c r="J51" s="52">
        <f>O32*100</f>
        <v>100.45101565451</v>
      </c>
      <c r="L51">
        <f>0.87*J51</f>
        <v>87.392383619423697</v>
      </c>
    </row>
    <row r="52" spans="1:12" x14ac:dyDescent="0.25">
      <c r="A52" s="2" t="str">
        <f>A33</f>
        <v>Anode</v>
      </c>
      <c r="B52" s="51">
        <f t="shared" si="4"/>
        <v>93.929056666535857</v>
      </c>
      <c r="C52" s="52">
        <f>D33*100</f>
        <v>93.267313209657871</v>
      </c>
      <c r="D52" s="52">
        <f>F33*100</f>
        <v>90.190083595054929</v>
      </c>
      <c r="E52" s="52">
        <f>H33*100</f>
        <v>89.536974516005543</v>
      </c>
      <c r="F52" s="52">
        <f>J33*100</f>
        <v>86.478232995588115</v>
      </c>
      <c r="G52" s="52">
        <f>L33*100</f>
        <v>81.899983639992257</v>
      </c>
      <c r="J52" s="52">
        <f>O33*100</f>
        <v>85.940951595783929</v>
      </c>
    </row>
    <row r="54" spans="1:12" x14ac:dyDescent="0.25">
      <c r="A54" s="53" t="s">
        <v>117</v>
      </c>
      <c r="B54" s="56">
        <f>C25</f>
        <v>1</v>
      </c>
      <c r="C54" s="56">
        <f>E25</f>
        <v>2</v>
      </c>
      <c r="D54" s="56">
        <f>G25</f>
        <v>2.8</v>
      </c>
      <c r="E54" s="56">
        <f>I25</f>
        <v>4</v>
      </c>
      <c r="F54" s="56">
        <f>K25</f>
        <v>5.6</v>
      </c>
      <c r="G54" s="56">
        <f>M25</f>
        <v>8</v>
      </c>
    </row>
    <row r="55" spans="1:12" x14ac:dyDescent="0.25">
      <c r="A55" s="2" t="str">
        <f>A26&amp;"-err"</f>
        <v>Insulators-err</v>
      </c>
      <c r="B55" s="40">
        <f>C26*100</f>
        <v>15.635834348534793</v>
      </c>
      <c r="C55" s="40">
        <f>E26*100</f>
        <v>15.434364588592608</v>
      </c>
      <c r="D55" s="40">
        <f>G26*100</f>
        <v>22.32562986860972</v>
      </c>
      <c r="E55" s="40">
        <f>I26*100</f>
        <v>12.605503687443445</v>
      </c>
      <c r="F55" s="40">
        <f>K26*100</f>
        <v>42.743131688154342</v>
      </c>
      <c r="G55" s="40">
        <f>M26*100</f>
        <v>18.177655199671921</v>
      </c>
    </row>
    <row r="56" spans="1:12" x14ac:dyDescent="0.25">
      <c r="A56" s="2" t="str">
        <f>A27&amp;"-err"</f>
        <v>Cathode-err</v>
      </c>
      <c r="B56" s="40">
        <f t="shared" ref="B56:B57" si="5">C27*100</f>
        <v>1.9284496131147817</v>
      </c>
      <c r="C56" s="40">
        <f>E27*100</f>
        <v>3.077777821344271</v>
      </c>
      <c r="D56" s="40">
        <f>G27*100</f>
        <v>4.2395926455926336</v>
      </c>
      <c r="E56" s="40">
        <f>I27*100</f>
        <v>4.5454076232638805</v>
      </c>
      <c r="F56" s="40">
        <f>K27*100</f>
        <v>8.7976689228007192</v>
      </c>
      <c r="G56" s="40">
        <f>M27*100</f>
        <v>7.2864483029171794</v>
      </c>
    </row>
    <row r="57" spans="1:12" x14ac:dyDescent="0.25">
      <c r="A57" s="2" t="str">
        <f>A28&amp;"-err"</f>
        <v>Anode-err</v>
      </c>
      <c r="B57" s="40">
        <f t="shared" si="5"/>
        <v>2.7821859524001393</v>
      </c>
      <c r="C57" s="40">
        <f>E28*100</f>
        <v>3.7219016649316483</v>
      </c>
      <c r="D57" s="40">
        <f>G28*100</f>
        <v>8.0644417966924369</v>
      </c>
      <c r="E57" s="40">
        <f>I28*100</f>
        <v>4.6713771897172709</v>
      </c>
      <c r="F57" s="40">
        <f>K28*100</f>
        <v>5.4299125708176934</v>
      </c>
      <c r="G57" s="40">
        <f>M28*100</f>
        <v>12.11736663911797</v>
      </c>
    </row>
    <row r="59" spans="1:12" x14ac:dyDescent="0.25">
      <c r="A59" s="53" t="s">
        <v>118</v>
      </c>
      <c r="B59" s="56">
        <f>C30</f>
        <v>1</v>
      </c>
      <c r="C59" s="56">
        <f>E30</f>
        <v>2</v>
      </c>
      <c r="D59" s="56">
        <f>G30</f>
        <v>2.8</v>
      </c>
      <c r="E59" s="56">
        <f>I30</f>
        <v>4</v>
      </c>
      <c r="F59" s="56">
        <f>K30</f>
        <v>5.6</v>
      </c>
      <c r="G59" s="56">
        <f>M30</f>
        <v>8</v>
      </c>
    </row>
    <row r="60" spans="1:12" x14ac:dyDescent="0.25">
      <c r="A60" s="2" t="str">
        <f>A31&amp;"-err"</f>
        <v>Insulators-err</v>
      </c>
      <c r="B60" s="40">
        <f>C31*100</f>
        <v>8.3070422446187919</v>
      </c>
      <c r="C60" s="40">
        <f>E31*100</f>
        <v>6.1291396880154547</v>
      </c>
      <c r="D60" s="40">
        <f>G31*100</f>
        <v>5.9827683765978374</v>
      </c>
      <c r="E60" s="40">
        <f>I31*100</f>
        <v>4.8901548929706493</v>
      </c>
      <c r="F60" s="40">
        <f>K31*100</f>
        <v>15.534366783960451</v>
      </c>
      <c r="G60" s="40">
        <f>M31*100</f>
        <v>7.4512821682635035</v>
      </c>
    </row>
    <row r="61" spans="1:12" x14ac:dyDescent="0.25">
      <c r="A61" s="2" t="str">
        <f>A32&amp;"-err"</f>
        <v>Cathode-err</v>
      </c>
      <c r="B61" s="40">
        <f t="shared" ref="B61:B62" si="6">C32*100</f>
        <v>1.794301401917189</v>
      </c>
      <c r="C61" s="40">
        <f>E32*100</f>
        <v>3.6163735084582802</v>
      </c>
      <c r="D61" s="40">
        <f>G32*100</f>
        <v>1.6782608110345736</v>
      </c>
      <c r="E61" s="40">
        <f>I32*100</f>
        <v>5.5020529800726798</v>
      </c>
      <c r="F61" s="40">
        <f>K32*100</f>
        <v>7.7828090847364599</v>
      </c>
      <c r="G61" s="40">
        <f>M32*100</f>
        <v>4.3905623760963861</v>
      </c>
    </row>
    <row r="62" spans="1:12" x14ac:dyDescent="0.25">
      <c r="A62" s="2" t="str">
        <f>A33&amp;"-err"</f>
        <v>Anode-err</v>
      </c>
      <c r="B62" s="40">
        <f t="shared" si="6"/>
        <v>1.9209343960784324</v>
      </c>
      <c r="C62" s="40">
        <f>E33*100</f>
        <v>2.1524873442839727</v>
      </c>
      <c r="D62" s="40">
        <f>G33*100</f>
        <v>5.2409576958564799</v>
      </c>
      <c r="E62" s="40">
        <f>I33*100</f>
        <v>3.7683141182387727</v>
      </c>
      <c r="F62" s="40">
        <f>K33*100</f>
        <v>4.5185263838393368</v>
      </c>
      <c r="G62" s="40">
        <f>M33*100</f>
        <v>19.358177220775644</v>
      </c>
    </row>
    <row r="64" spans="1:12" x14ac:dyDescent="0.25">
      <c r="A64" s="2" t="str">
        <f t="array" ref="A64:D70">TRANSPOSE(A44:G47)</f>
        <v>Grade</v>
      </c>
      <c r="B64" t="str">
        <v>Insulators</v>
      </c>
      <c r="C64" t="str">
        <v>Cathode</v>
      </c>
      <c r="D64" t="str">
        <v>Anode</v>
      </c>
      <c r="E64" t="str">
        <f t="array" ref="E64:G70">TRANSPOSE(A55:G57)</f>
        <v>Insulators-err</v>
      </c>
      <c r="F64" t="str">
        <v>Cathode-err</v>
      </c>
      <c r="G64" t="str">
        <v>Anode-err</v>
      </c>
    </row>
    <row r="65" spans="1:7" x14ac:dyDescent="0.25">
      <c r="A65" s="2">
        <v>1</v>
      </c>
      <c r="B65" s="40">
        <v>87.269381809390822</v>
      </c>
      <c r="C65" s="40">
        <v>96.418557250595839</v>
      </c>
      <c r="D65" s="40">
        <v>96.787783332462425</v>
      </c>
      <c r="E65" s="40">
        <v>15.635834348534793</v>
      </c>
      <c r="F65" s="40">
        <v>1.9284496131147817</v>
      </c>
      <c r="G65" s="40">
        <v>2.7821859524001393</v>
      </c>
    </row>
    <row r="66" spans="1:7" x14ac:dyDescent="0.25">
      <c r="A66" s="2">
        <v>2</v>
      </c>
      <c r="B66" s="40">
        <v>91.312068044934563</v>
      </c>
      <c r="C66" s="40">
        <v>95.087629453645079</v>
      </c>
      <c r="D66" s="40">
        <v>92.721646193231393</v>
      </c>
      <c r="E66" s="40">
        <v>15.434364588592608</v>
      </c>
      <c r="F66" s="40">
        <v>3.077777821344271</v>
      </c>
      <c r="G66" s="40">
        <v>3.7219016649316483</v>
      </c>
    </row>
    <row r="67" spans="1:7" x14ac:dyDescent="0.25">
      <c r="A67" s="2">
        <v>2.8</v>
      </c>
      <c r="B67" s="40">
        <v>96.184794394850499</v>
      </c>
      <c r="C67" s="40">
        <v>88.932000664704461</v>
      </c>
      <c r="D67" s="40">
        <v>91.302239589157097</v>
      </c>
      <c r="E67" s="40">
        <v>22.32562986860972</v>
      </c>
      <c r="F67" s="40">
        <v>4.2395926455926336</v>
      </c>
      <c r="G67" s="40">
        <v>8.0644417966924369</v>
      </c>
    </row>
    <row r="68" spans="1:7" x14ac:dyDescent="0.25">
      <c r="A68" s="2">
        <v>4</v>
      </c>
      <c r="B68" s="40">
        <v>89.565692522956383</v>
      </c>
      <c r="C68" s="40">
        <v>90.992282758828637</v>
      </c>
      <c r="D68" s="40">
        <v>86.354375198831406</v>
      </c>
      <c r="E68" s="40">
        <v>12.605503687443445</v>
      </c>
      <c r="F68" s="40">
        <v>4.5454076232638805</v>
      </c>
      <c r="G68" s="40">
        <v>4.6713771897172709</v>
      </c>
    </row>
    <row r="69" spans="1:7" x14ac:dyDescent="0.25">
      <c r="A69" s="2">
        <v>5.6</v>
      </c>
      <c r="B69" s="40">
        <v>88.297260164004214</v>
      </c>
      <c r="C69" s="40">
        <v>88.004678632749432</v>
      </c>
      <c r="D69" s="40">
        <v>86.274066376071829</v>
      </c>
      <c r="E69" s="40">
        <v>42.743131688154342</v>
      </c>
      <c r="F69" s="40">
        <v>8.7976689228007192</v>
      </c>
      <c r="G69" s="40">
        <v>5.4299125708176934</v>
      </c>
    </row>
    <row r="70" spans="1:7" x14ac:dyDescent="0.25">
      <c r="A70" s="2">
        <v>8</v>
      </c>
      <c r="B70" s="40">
        <v>95.002491205994971</v>
      </c>
      <c r="C70" s="40">
        <v>85.551602565488338</v>
      </c>
      <c r="D70" s="40">
        <v>79.262366557847301</v>
      </c>
      <c r="E70" s="40">
        <v>18.177655199671921</v>
      </c>
      <c r="F70" s="40">
        <v>7.2864483029171794</v>
      </c>
      <c r="G70" s="40">
        <v>12.11736663911797</v>
      </c>
    </row>
    <row r="72" spans="1:7" x14ac:dyDescent="0.25">
      <c r="A72" s="2" t="str">
        <f t="array" ref="A72:D78">TRANSPOSE(A49:G52)</f>
        <v>Recovery</v>
      </c>
      <c r="B72" t="str">
        <v>Insulators</v>
      </c>
      <c r="C72" t="str">
        <v>Cathode</v>
      </c>
      <c r="D72" t="str">
        <v>Anode</v>
      </c>
      <c r="E72" t="str">
        <f t="array" ref="E72:G78">TRANSPOSE(A60:G62)</f>
        <v>Insulators-err</v>
      </c>
      <c r="F72" t="str">
        <v>Cathode-err</v>
      </c>
      <c r="G72" t="str">
        <v>Anode-err</v>
      </c>
    </row>
    <row r="73" spans="1:7" x14ac:dyDescent="0.25">
      <c r="A73" s="2">
        <v>1</v>
      </c>
      <c r="B73" s="40">
        <v>62.327587278765343</v>
      </c>
      <c r="C73" s="40">
        <v>99.790517475555944</v>
      </c>
      <c r="D73" s="40">
        <v>93.929056666535857</v>
      </c>
      <c r="E73" s="40">
        <v>8.3070422446187919</v>
      </c>
      <c r="F73" s="40">
        <v>1.794301401917189</v>
      </c>
      <c r="G73" s="40">
        <v>1.9209343960784324</v>
      </c>
    </row>
    <row r="74" spans="1:7" x14ac:dyDescent="0.25">
      <c r="A74" s="2">
        <v>2</v>
      </c>
      <c r="B74" s="40">
        <v>40.449861596338785</v>
      </c>
      <c r="C74" s="40">
        <v>99.908087300799465</v>
      </c>
      <c r="D74" s="40">
        <v>93.267313209657871</v>
      </c>
      <c r="E74" s="40">
        <v>6.1291396880154547</v>
      </c>
      <c r="F74" s="40">
        <v>3.6163735084582802</v>
      </c>
      <c r="G74" s="40">
        <v>2.1524873442839727</v>
      </c>
    </row>
    <row r="75" spans="1:7" x14ac:dyDescent="0.25">
      <c r="A75" s="2">
        <v>2.8</v>
      </c>
      <c r="B75" s="40">
        <v>29.784889524652769</v>
      </c>
      <c r="C75" s="40">
        <v>99.735277592765087</v>
      </c>
      <c r="D75" s="40">
        <v>90.190083595054929</v>
      </c>
      <c r="E75" s="40">
        <v>5.9827683765978374</v>
      </c>
      <c r="F75" s="40">
        <v>1.6782608110345736</v>
      </c>
      <c r="G75" s="40">
        <v>5.2409576958564799</v>
      </c>
    </row>
    <row r="76" spans="1:7" x14ac:dyDescent="0.25">
      <c r="A76" s="2">
        <v>4</v>
      </c>
      <c r="B76" s="40">
        <v>32.729727604554057</v>
      </c>
      <c r="C76" s="40">
        <v>100.00453532610814</v>
      </c>
      <c r="D76" s="40">
        <v>89.536974516005543</v>
      </c>
      <c r="E76" s="40">
        <v>4.8901548929706493</v>
      </c>
      <c r="F76" s="40">
        <v>5.5020529800726798</v>
      </c>
      <c r="G76" s="40">
        <v>3.7683141182387727</v>
      </c>
    </row>
    <row r="77" spans="1:7" x14ac:dyDescent="0.25">
      <c r="A77" s="2">
        <v>5.6</v>
      </c>
      <c r="B77" s="40">
        <v>32.635309012063985</v>
      </c>
      <c r="C77" s="40">
        <v>100.01138115578073</v>
      </c>
      <c r="D77" s="40">
        <v>86.478232995588115</v>
      </c>
      <c r="E77" s="40">
        <v>15.534366783960451</v>
      </c>
      <c r="F77" s="40">
        <v>7.7828090847364599</v>
      </c>
      <c r="G77" s="40">
        <v>4.5185263838393368</v>
      </c>
    </row>
    <row r="78" spans="1:7" x14ac:dyDescent="0.25">
      <c r="A78" s="2">
        <v>8</v>
      </c>
      <c r="B78" s="40">
        <v>20.606165690312093</v>
      </c>
      <c r="C78" s="40">
        <v>101.6173377770788</v>
      </c>
      <c r="D78" s="40">
        <v>81.899983639992257</v>
      </c>
      <c r="E78" s="40">
        <v>7.4512821682635035</v>
      </c>
      <c r="F78" s="40">
        <v>4.3905623760963861</v>
      </c>
      <c r="G78" s="40">
        <v>19.358177220775644</v>
      </c>
    </row>
    <row r="82" spans="1:23" ht="15.75" thickBot="1" x14ac:dyDescent="0.3">
      <c r="B82" t="s">
        <v>57</v>
      </c>
      <c r="C82" t="s">
        <v>37</v>
      </c>
      <c r="D82" t="s">
        <v>58</v>
      </c>
      <c r="E82" s="16" t="s">
        <v>59</v>
      </c>
      <c r="F82" t="s">
        <v>60</v>
      </c>
      <c r="G82" t="s">
        <v>61</v>
      </c>
      <c r="I82" t="s">
        <v>119</v>
      </c>
      <c r="J82" t="s">
        <v>63</v>
      </c>
      <c r="K82" t="s">
        <v>64</v>
      </c>
      <c r="L82" t="s">
        <v>63</v>
      </c>
      <c r="N82" t="s">
        <v>120</v>
      </c>
      <c r="O82">
        <f>O3</f>
        <v>91.005830289634787</v>
      </c>
      <c r="Q82" t="s">
        <v>121</v>
      </c>
    </row>
    <row r="83" spans="1:23" ht="15.75" thickBot="1" x14ac:dyDescent="0.3">
      <c r="A83" s="2" t="str">
        <f>'R0030_LFP_Liberation'!A18</f>
        <v>Cathode</v>
      </c>
      <c r="B83">
        <f>'R0030_LFP_Liberation'!D18</f>
        <v>0.4141621362874825</v>
      </c>
      <c r="C83">
        <f>B83*100</f>
        <v>41.416213628748253</v>
      </c>
      <c r="D83">
        <f>'R0030_LFP_Liberation'!F18*100</f>
        <v>0.31727983618837174</v>
      </c>
      <c r="E83">
        <f>C83</f>
        <v>41.416213628748253</v>
      </c>
      <c r="F83">
        <f>O5+O12+O18</f>
        <v>41.109820942871067</v>
      </c>
      <c r="G83">
        <f>SQRT(SUMSQ(C5,E5,G5,I5,K5,M5,C12,E12,G12,I12,K12,M12,C18,E18,G18,I18,K18,M18))</f>
        <v>1.0841234442290351</v>
      </c>
      <c r="I83">
        <f>E83-F83</f>
        <v>0.30639268587718504</v>
      </c>
      <c r="J83">
        <f>SQRT(SUMSQ(D83,G83))</f>
        <v>1.1295973339109586</v>
      </c>
      <c r="K83">
        <f>(E83/$E$91)*100-F83</f>
        <v>8.9521727750988447</v>
      </c>
      <c r="L83">
        <f>SQRT((100*SQRT((D83/E83)^2+($E$92/$E$91)^2))^2+G83^2)</f>
        <v>1.8260637187042248</v>
      </c>
      <c r="N83" t="s">
        <v>56</v>
      </c>
      <c r="O83" s="33">
        <f>O5+O6+O8+O9+O12+O13+O15+O16+O18+O19+O21+O22</f>
        <v>85.821058889536843</v>
      </c>
      <c r="Q83">
        <f>K83/$K$91</f>
        <v>0.63137103859559163</v>
      </c>
      <c r="R83">
        <f>SQRT((SQRT(SUMSQ(L$83:L$86))/SUM(K$83:K$86))^2+(L83/K83)^2)*Q83</f>
        <v>0.2993629018751286</v>
      </c>
      <c r="U83" s="79">
        <f>I83/SUM(I$83:I$86)</f>
        <v>-9.911751613914653E-2</v>
      </c>
      <c r="W83" s="79">
        <f>K83/SUM(K$83:K$86)</f>
        <v>0.63137103859559163</v>
      </c>
    </row>
    <row r="84" spans="1:23" x14ac:dyDescent="0.25">
      <c r="A84" s="2" t="str">
        <f>'R0030_LFP_Liberation'!A19</f>
        <v>Anode</v>
      </c>
      <c r="B84">
        <f>'R0030_LFP_Liberation'!D19</f>
        <v>0.32632406742571884</v>
      </c>
      <c r="C84">
        <f t="shared" ref="C84:C88" si="7">B84*100</f>
        <v>32.632406742571888</v>
      </c>
      <c r="D84">
        <f>'R0030_LFP_Liberation'!F19*100</f>
        <v>0.15857566904666354</v>
      </c>
      <c r="E84">
        <f>C84</f>
        <v>32.632406742571888</v>
      </c>
      <c r="F84">
        <f>O6+O13+O19</f>
        <v>34.72993533575999</v>
      </c>
      <c r="G84">
        <f>SQRT(SUMSQ(C6,E6,G6,I6,K6,M6,C13,E13,G13,I13,K13,M13,C19,E19,G19,I19,K19,M19))</f>
        <v>2.0582892890098683</v>
      </c>
      <c r="I84">
        <f>E84-F84</f>
        <v>-2.0975285931881018</v>
      </c>
      <c r="J84">
        <f>SQRT(SUMSQ(D84,G84))</f>
        <v>2.0643887812295305</v>
      </c>
      <c r="K84">
        <f>(E84/$E$91)*100-F84</f>
        <v>4.7146009512295919</v>
      </c>
      <c r="L84">
        <f>SQRT((100*SQRT((D84/E84)^2+($E$92/$E$91)^2))^2+G84^2)</f>
        <v>2.4586601468889602</v>
      </c>
      <c r="N84" t="s">
        <v>69</v>
      </c>
      <c r="O84">
        <f>O7+O14+O20</f>
        <v>5.184771400097925</v>
      </c>
      <c r="Q84">
        <f>K84/$K$91</f>
        <v>0.33250726655113344</v>
      </c>
      <c r="R84">
        <f>SQRT((SQRT(SUMSQ(L$83:L$86))/SUM(K$83:K$86))^2+(L84/K84)^2)*Q84</f>
        <v>0.22433011171601347</v>
      </c>
      <c r="U84" s="79">
        <f t="shared" ref="U84:W86" si="8">I84/SUM(I$83:I$86)</f>
        <v>0.67854695549416189</v>
      </c>
      <c r="W84" s="79">
        <f t="shared" si="8"/>
        <v>0.33250726655113344</v>
      </c>
    </row>
    <row r="85" spans="1:23" x14ac:dyDescent="0.25">
      <c r="A85" s="2" t="str">
        <f>'R0030_LFP_Liberation'!A20</f>
        <v>Pouch</v>
      </c>
      <c r="B85">
        <f>'R0030_LFP_Liberation'!D20</f>
        <v>4.8073306663931344E-2</v>
      </c>
      <c r="C85">
        <f t="shared" si="7"/>
        <v>4.8073306663931348</v>
      </c>
      <c r="D85">
        <f>'R0030_LFP_Liberation'!F20*100</f>
        <v>1.360987070955175E-2</v>
      </c>
      <c r="E85">
        <f>C85</f>
        <v>4.8073306663931348</v>
      </c>
      <c r="F85">
        <f>O8+O15+O21</f>
        <v>6.4653374220971429</v>
      </c>
      <c r="G85">
        <f>SQRT(SUMSQ(C8,E8,G8,I8,K8,M8,C15,E15,G15,I15,K15,M15,C21,E21,G21,I21,K21,M21))</f>
        <v>1.1727499928804535</v>
      </c>
      <c r="I85">
        <f>E85-F85</f>
        <v>-1.6580067557040081</v>
      </c>
      <c r="J85">
        <f>SQRT(SUMSQ(D85,G85))</f>
        <v>1.1728289621175947</v>
      </c>
      <c r="K85">
        <f>(E85/$E$91)*100-F85</f>
        <v>-0.65445959105069029</v>
      </c>
      <c r="L85">
        <f>SQRT((100*SQRT((D85/E85)^2+($E$92/$E$91)^2))^2+G85^2)</f>
        <v>1.7400585956600401</v>
      </c>
      <c r="N85" t="s">
        <v>70</v>
      </c>
      <c r="O85" s="16">
        <f>'R0030_LFP_Liberation'!$C$2</f>
        <v>4.2196680721153994</v>
      </c>
      <c r="Q85">
        <f>K85/$K$91</f>
        <v>-4.6157155598011583E-2</v>
      </c>
      <c r="R85">
        <f>SQRT((SQRT(SUMSQ(L$83:L$86))/SUM(K$83:K$86))^2+(L85/K85)^2)*Q85</f>
        <v>-0.12430143841420091</v>
      </c>
      <c r="U85" s="79">
        <f t="shared" si="8"/>
        <v>0.53636238377171752</v>
      </c>
      <c r="W85" s="79">
        <f t="shared" si="8"/>
        <v>-4.6157155598011583E-2</v>
      </c>
    </row>
    <row r="86" spans="1:23" x14ac:dyDescent="0.25">
      <c r="A86" s="2" t="str">
        <f>'R0030_LFP_Liberation'!A21</f>
        <v>Separator</v>
      </c>
      <c r="B86">
        <f>'R0030_LFP_Liberation'!D21</f>
        <v>3.873901596744965E-2</v>
      </c>
      <c r="C86">
        <f t="shared" si="7"/>
        <v>3.873901596744965</v>
      </c>
      <c r="D86">
        <f>'R0030_LFP_Liberation'!F21*100</f>
        <v>0.18435543609778107</v>
      </c>
      <c r="E86">
        <f>C86</f>
        <v>3.873901596744965</v>
      </c>
      <c r="F86">
        <f>O9+O16+O22</f>
        <v>3.5159651888086523</v>
      </c>
      <c r="G86">
        <f>SQRT(SUMSQ(C9,E9,G9,I9,K9,M9,C16,E16,G16,I16,K16,M16,C22,E22,G22,I22,K22,M22))</f>
        <v>0.45354443436369474</v>
      </c>
      <c r="I86">
        <f>E86-F86</f>
        <v>0.35793640793631276</v>
      </c>
      <c r="J86">
        <f>SQRT(SUMSQ(D86,G86))</f>
        <v>0.4895809236082293</v>
      </c>
      <c r="K86">
        <f>(E86/$E$91)*100-F86</f>
        <v>1.166626975185395</v>
      </c>
      <c r="L86">
        <f>SQRT((100*SQRT((D86/E86)^2+($E$92/$E$91)^2))^2+G86^2)</f>
        <v>4.9421883413457017</v>
      </c>
      <c r="N86" t="s">
        <v>71</v>
      </c>
      <c r="O86" s="16">
        <f>SUM('R0030_LFP_Liberation'!$C$9,'R0030_LFP_Liberation'!$C$10,'R0030_LFP_Liberation'!$C$11)</f>
        <v>4.7745016382498111</v>
      </c>
      <c r="Q86">
        <f>K86/$K$91</f>
        <v>8.2278850451286509E-2</v>
      </c>
      <c r="R86">
        <f>SQRT((SQRT(SUMSQ(L$83:L$86))/SUM(K$83:K$86))^2+(L86/K86)^2)*Q86</f>
        <v>0.35033299435708565</v>
      </c>
      <c r="U86" s="79">
        <f t="shared" si="8"/>
        <v>-0.11579182312673281</v>
      </c>
      <c r="W86" s="79">
        <f t="shared" si="8"/>
        <v>8.2278850451286509E-2</v>
      </c>
    </row>
    <row r="87" spans="1:23" x14ac:dyDescent="0.25">
      <c r="A87" s="2" t="str">
        <f>'R0030_LFP_Liberation'!A22</f>
        <v>Electrolyte</v>
      </c>
      <c r="B87">
        <f>'R0030_LFP_Liberation'!D22</f>
        <v>0.17270147365541763</v>
      </c>
      <c r="C87">
        <f t="shared" si="7"/>
        <v>17.270147365541764</v>
      </c>
      <c r="D87">
        <f>'R0030_LFP_Liberation'!F22*100</f>
        <v>0.68723977625045918</v>
      </c>
    </row>
    <row r="88" spans="1:23" ht="15.75" thickBot="1" x14ac:dyDescent="0.3">
      <c r="A88" s="2" t="str">
        <f>'R0030_LFP_Liberation'!A23</f>
        <v>Whole</v>
      </c>
      <c r="B88">
        <f>'R0030_LFP_Liberation'!D23</f>
        <v>1</v>
      </c>
      <c r="C88">
        <f t="shared" si="7"/>
        <v>100</v>
      </c>
      <c r="D88">
        <f>'R0030_LFP_Liberation'!F23*100</f>
        <v>9.6587321036865112E-2</v>
      </c>
      <c r="N88" t="s">
        <v>122</v>
      </c>
      <c r="O88" s="16">
        <f>O86+O85+O82</f>
        <v>100</v>
      </c>
    </row>
    <row r="89" spans="1:23" ht="15.75" thickBot="1" x14ac:dyDescent="0.3">
      <c r="N89" t="s">
        <v>72</v>
      </c>
      <c r="O89" s="37">
        <f>SUM(O84:O86)</f>
        <v>14.178941110463136</v>
      </c>
    </row>
    <row r="90" spans="1:23" ht="15.75" thickBot="1" x14ac:dyDescent="0.3">
      <c r="I90" s="30"/>
      <c r="R90" s="16"/>
    </row>
    <row r="91" spans="1:23" ht="15.75" thickBot="1" x14ac:dyDescent="0.3">
      <c r="A91" s="2" t="s">
        <v>35</v>
      </c>
      <c r="E91" s="32">
        <f>SUM(E83:E86)</f>
        <v>82.729852634458254</v>
      </c>
      <c r="F91" s="35">
        <f>SUM(F83:F86)</f>
        <v>85.821058889536857</v>
      </c>
      <c r="I91" s="39">
        <f>SUM(I83:I86)</f>
        <v>-3.0912062550786121</v>
      </c>
      <c r="K91" s="39">
        <f>SUM(K83:K86)</f>
        <v>14.178941110463141</v>
      </c>
      <c r="N91" t="s">
        <v>73</v>
      </c>
      <c r="O91" s="31">
        <f>O89+O83</f>
        <v>99.999999999999972</v>
      </c>
    </row>
    <row r="92" spans="1:23" x14ac:dyDescent="0.25">
      <c r="A92" s="2" t="s">
        <v>63</v>
      </c>
      <c r="D92" t="s">
        <v>123</v>
      </c>
      <c r="E92">
        <f>F91/E91</f>
        <v>1.0373650642016383</v>
      </c>
      <c r="I92" t="str">
        <f>IF((ROUND(I91,J93)+ROUND(F91,J93))=ROUND(E91,J93),"ok","Something Wrong")</f>
        <v>ok</v>
      </c>
      <c r="K92" t="str">
        <f>IF(K91+F91=100,"ok","Something Wrong")</f>
        <v>ok</v>
      </c>
    </row>
    <row r="93" spans="1:23" x14ac:dyDescent="0.25">
      <c r="B93" s="16"/>
      <c r="H93" t="s">
        <v>124</v>
      </c>
      <c r="J93">
        <v>3</v>
      </c>
    </row>
  </sheetData>
  <mergeCells count="7">
    <mergeCell ref="O1:P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8E32-08D1-497B-B23F-E4DB38C82D5A}">
  <sheetPr codeName="Sheet10"/>
  <dimension ref="A2:O113"/>
  <sheetViews>
    <sheetView zoomScale="70" zoomScaleNormal="70" workbookViewId="0">
      <selection activeCell="F42" sqref="F42"/>
    </sheetView>
  </sheetViews>
  <sheetFormatPr defaultRowHeight="15" x14ac:dyDescent="0.25"/>
  <cols>
    <col min="3" max="3" width="13.42578125" bestFit="1" customWidth="1"/>
    <col min="4" max="4" width="10.140625" bestFit="1" customWidth="1"/>
    <col min="5" max="5" width="10.140625" customWidth="1"/>
    <col min="6" max="6" width="10.28515625" bestFit="1" customWidth="1"/>
    <col min="7" max="7" width="10.28515625" customWidth="1"/>
    <col min="8" max="8" width="19.42578125" bestFit="1" customWidth="1"/>
    <col min="9" max="9" width="2.42578125" customWidth="1"/>
    <col min="10" max="10" width="18.7109375" customWidth="1"/>
    <col min="11" max="11" width="2.42578125" customWidth="1"/>
    <col min="12" max="12" width="11.28515625" bestFit="1" customWidth="1"/>
    <col min="13" max="13" width="2.42578125" customWidth="1"/>
    <col min="14" max="14" width="18.7109375" customWidth="1"/>
    <col min="15" max="15" width="9" bestFit="1" customWidth="1"/>
    <col min="16" max="16" width="2.140625" customWidth="1"/>
  </cols>
  <sheetData>
    <row r="2" spans="1:15" x14ac:dyDescent="0.25">
      <c r="A2" t="s">
        <v>125</v>
      </c>
      <c r="L2" s="77" t="s">
        <v>126</v>
      </c>
      <c r="M2" s="16"/>
    </row>
    <row r="3" spans="1:15" ht="15.75" thickBot="1" x14ac:dyDescent="0.3">
      <c r="H3" t="s">
        <v>127</v>
      </c>
      <c r="I3" t="s">
        <v>128</v>
      </c>
      <c r="J3" s="16" t="s">
        <v>129</v>
      </c>
      <c r="L3" s="26" t="s">
        <v>130</v>
      </c>
      <c r="M3" s="16"/>
      <c r="N3" t="s">
        <v>131</v>
      </c>
      <c r="O3" t="s">
        <v>132</v>
      </c>
    </row>
    <row r="4" spans="1:15" x14ac:dyDescent="0.25">
      <c r="A4" t="s">
        <v>135</v>
      </c>
      <c r="B4" t="s">
        <v>136</v>
      </c>
      <c r="H4" t="s">
        <v>137</v>
      </c>
      <c r="I4" s="80"/>
      <c r="J4" s="81" t="s">
        <v>45</v>
      </c>
      <c r="K4" s="82" t="s">
        <v>133</v>
      </c>
      <c r="L4" s="83">
        <f>$F$31</f>
        <v>50.061993717969912</v>
      </c>
      <c r="M4" s="81" t="s">
        <v>134</v>
      </c>
      <c r="N4" s="82" t="s">
        <v>137</v>
      </c>
      <c r="O4" s="84" t="s">
        <v>138</v>
      </c>
    </row>
    <row r="5" spans="1:15" x14ac:dyDescent="0.25">
      <c r="A5" s="16">
        <f>'R0030_LFP_Liberation'!A2</f>
        <v>11.2</v>
      </c>
      <c r="B5" s="16">
        <f>'R0030_LFP_Liberation'!C2</f>
        <v>4.2196680721153994</v>
      </c>
      <c r="D5" s="16"/>
      <c r="I5" s="85"/>
      <c r="J5" s="16" t="s">
        <v>46</v>
      </c>
      <c r="K5" t="s">
        <v>133</v>
      </c>
      <c r="L5" s="26">
        <f>$F$32</f>
        <v>39.444536286989575</v>
      </c>
      <c r="M5" s="16" t="s">
        <v>134</v>
      </c>
      <c r="N5" t="s">
        <v>137</v>
      </c>
      <c r="O5" s="86" t="s">
        <v>139</v>
      </c>
    </row>
    <row r="6" spans="1:15" x14ac:dyDescent="0.25">
      <c r="A6" s="16">
        <f>'R0030_LFP_Liberation'!A3</f>
        <v>8</v>
      </c>
      <c r="B6" s="16">
        <f>'R0030_LFP_Liberation'!C3</f>
        <v>33.556654923985853</v>
      </c>
      <c r="D6" s="16"/>
      <c r="I6" s="85"/>
      <c r="J6" s="16" t="s">
        <v>47</v>
      </c>
      <c r="K6" t="s">
        <v>133</v>
      </c>
      <c r="L6" s="26">
        <f>$F$33</f>
        <v>5.8108778310464535</v>
      </c>
      <c r="M6" s="16" t="s">
        <v>134</v>
      </c>
      <c r="N6" t="s">
        <v>137</v>
      </c>
      <c r="O6" s="87" t="s">
        <v>140</v>
      </c>
    </row>
    <row r="7" spans="1:15" x14ac:dyDescent="0.25">
      <c r="A7" s="16">
        <f>'R0030_LFP_Liberation'!A4</f>
        <v>5.6</v>
      </c>
      <c r="B7" s="16">
        <f>'R0030_LFP_Liberation'!C4</f>
        <v>27.799770547800918</v>
      </c>
      <c r="D7" s="16"/>
      <c r="I7" s="85"/>
      <c r="J7" s="16" t="s">
        <v>48</v>
      </c>
      <c r="K7" t="s">
        <v>133</v>
      </c>
      <c r="L7" s="26">
        <f>$F$34</f>
        <v>4.6825921639940473</v>
      </c>
      <c r="M7" s="16" t="s">
        <v>134</v>
      </c>
      <c r="N7" t="s">
        <v>137</v>
      </c>
      <c r="O7" s="88" t="s">
        <v>141</v>
      </c>
    </row>
    <row r="8" spans="1:15" x14ac:dyDescent="0.25">
      <c r="A8" s="16">
        <f>'R0030_LFP_Liberation'!A5</f>
        <v>4</v>
      </c>
      <c r="B8" s="16">
        <f>'R0030_LFP_Liberation'!C5</f>
        <v>13.633203807350894</v>
      </c>
      <c r="D8" s="16"/>
      <c r="I8" s="85"/>
      <c r="J8" s="16" t="s">
        <v>49</v>
      </c>
      <c r="K8" t="s">
        <v>133</v>
      </c>
      <c r="L8" s="26">
        <f>$F$35</f>
        <v>20.875351297735158</v>
      </c>
      <c r="M8" s="16" t="s">
        <v>134</v>
      </c>
      <c r="N8" t="s">
        <v>137</v>
      </c>
      <c r="O8" s="89" t="s">
        <v>142</v>
      </c>
    </row>
    <row r="9" spans="1:15" x14ac:dyDescent="0.25">
      <c r="A9" s="16">
        <f>'R0030_LFP_Liberation'!A6</f>
        <v>2.8</v>
      </c>
      <c r="B9" s="16">
        <f>'R0030_LFP_Liberation'!C6</f>
        <v>8.5147669342528687</v>
      </c>
      <c r="D9" s="16"/>
      <c r="I9" s="85"/>
      <c r="L9" s="26"/>
      <c r="M9" s="16"/>
      <c r="O9" s="90"/>
    </row>
    <row r="10" spans="1:15" x14ac:dyDescent="0.25">
      <c r="A10" s="16">
        <f>'R0030_LFP_Liberation'!A7</f>
        <v>2</v>
      </c>
      <c r="B10" s="16">
        <f>'R0030_LFP_Liberation'!C7</f>
        <v>4.1404292830266947</v>
      </c>
      <c r="D10" s="16"/>
      <c r="H10" t="s">
        <v>143</v>
      </c>
      <c r="I10" s="85"/>
      <c r="J10" t="s">
        <v>137</v>
      </c>
      <c r="K10" t="s">
        <v>133</v>
      </c>
      <c r="L10" s="26">
        <f>$F$37</f>
        <v>120.87535129773514</v>
      </c>
      <c r="M10" s="16" t="s">
        <v>134</v>
      </c>
      <c r="N10" t="s">
        <v>144</v>
      </c>
      <c r="O10" s="90"/>
    </row>
    <row r="11" spans="1:15" x14ac:dyDescent="0.25">
      <c r="A11" s="16">
        <f>'R0030_LFP_Liberation'!A8</f>
        <v>1</v>
      </c>
      <c r="B11" s="16">
        <f>'R0030_LFP_Liberation'!C8</f>
        <v>3.3610047932175489</v>
      </c>
      <c r="D11" s="16"/>
      <c r="I11" s="85"/>
      <c r="L11" s="26"/>
      <c r="M11" s="16"/>
      <c r="O11" s="90"/>
    </row>
    <row r="12" spans="1:15" x14ac:dyDescent="0.25">
      <c r="A12" s="16">
        <f>'R0030_LFP_Liberation'!A9</f>
        <v>0.124</v>
      </c>
      <c r="B12" s="16">
        <f>'R0030_LFP_Liberation'!C9</f>
        <v>4.2120520739821297</v>
      </c>
      <c r="D12" s="16"/>
      <c r="H12" t="s">
        <v>145</v>
      </c>
      <c r="I12" s="85"/>
      <c r="J12" t="s">
        <v>144</v>
      </c>
      <c r="K12" t="s">
        <v>133</v>
      </c>
      <c r="L12" s="26">
        <f>$E$37</f>
        <v>99.999999999999986</v>
      </c>
      <c r="M12" s="16" t="s">
        <v>134</v>
      </c>
      <c r="N12" t="s">
        <v>146</v>
      </c>
      <c r="O12" s="90"/>
    </row>
    <row r="13" spans="1:15" x14ac:dyDescent="0.25">
      <c r="A13" s="16">
        <f>'R0030_LFP_Liberation'!A10</f>
        <v>0.04</v>
      </c>
      <c r="B13" s="16">
        <f>'R0030_LFP_Liberation'!C10</f>
        <v>0.48142830753076377</v>
      </c>
      <c r="D13" s="16"/>
      <c r="I13" s="85"/>
      <c r="J13" t="s">
        <v>144</v>
      </c>
      <c r="K13" t="s">
        <v>133</v>
      </c>
      <c r="L13" s="26">
        <f>$F$35</f>
        <v>20.875351297735158</v>
      </c>
      <c r="M13" s="16" t="s">
        <v>134</v>
      </c>
      <c r="N13" t="s">
        <v>147</v>
      </c>
      <c r="O13" s="90"/>
    </row>
    <row r="14" spans="1:15" x14ac:dyDescent="0.25">
      <c r="A14" s="16">
        <f>'R0030_LFP_Liberation'!A11</f>
        <v>0</v>
      </c>
      <c r="B14" s="16">
        <f>'R0030_LFP_Liberation'!C11</f>
        <v>8.1021256736917485E-2</v>
      </c>
      <c r="D14" s="16"/>
      <c r="I14" s="85"/>
      <c r="L14" s="26"/>
      <c r="M14" s="16"/>
      <c r="O14" s="90"/>
    </row>
    <row r="15" spans="1:15" x14ac:dyDescent="0.25">
      <c r="B15" s="16">
        <f>SUM(B5:B14)</f>
        <v>99.999999999999986</v>
      </c>
      <c r="C15" s="16"/>
      <c r="H15" t="s">
        <v>148</v>
      </c>
      <c r="I15" s="85"/>
      <c r="J15" t="s">
        <v>146</v>
      </c>
      <c r="K15" t="s">
        <v>133</v>
      </c>
      <c r="L15" s="26">
        <f>SUM(B6:B11)</f>
        <v>91.005830289634758</v>
      </c>
      <c r="M15" s="16" t="s">
        <v>134</v>
      </c>
      <c r="N15" t="s">
        <v>149</v>
      </c>
      <c r="O15" s="90"/>
    </row>
    <row r="16" spans="1:15" x14ac:dyDescent="0.25">
      <c r="C16" s="16" t="s">
        <v>37</v>
      </c>
      <c r="D16" t="s">
        <v>27</v>
      </c>
      <c r="F16">
        <f>L19/0.91</f>
        <v>96.054584106184208</v>
      </c>
      <c r="I16" s="85"/>
      <c r="J16" t="s">
        <v>146</v>
      </c>
      <c r="K16" t="s">
        <v>133</v>
      </c>
      <c r="L16" s="26">
        <f>SUM(B12:B14)</f>
        <v>4.7745016382498111</v>
      </c>
      <c r="M16" s="16" t="s">
        <v>134</v>
      </c>
      <c r="N16" t="s">
        <v>150</v>
      </c>
      <c r="O16" s="90"/>
    </row>
    <row r="17" spans="1:15" x14ac:dyDescent="0.25">
      <c r="A17" s="16">
        <f>A6</f>
        <v>8</v>
      </c>
      <c r="B17" t="s">
        <v>77</v>
      </c>
      <c r="C17" s="16">
        <f>'R0030_LFP_Total'!L4</f>
        <v>1.3500985648337893</v>
      </c>
      <c r="D17" s="16">
        <f>'R0030_LFP_Total'!M4</f>
        <v>0.16462358314894632</v>
      </c>
      <c r="I17" s="85"/>
      <c r="J17" t="s">
        <v>146</v>
      </c>
      <c r="K17" t="s">
        <v>133</v>
      </c>
      <c r="L17" s="26">
        <f>SUM(B5)</f>
        <v>4.2196680721153994</v>
      </c>
      <c r="M17" s="16" t="s">
        <v>134</v>
      </c>
      <c r="N17" t="s">
        <v>151</v>
      </c>
      <c r="O17" s="90"/>
    </row>
    <row r="18" spans="1:15" x14ac:dyDescent="0.25">
      <c r="A18" s="16">
        <f>A6</f>
        <v>8</v>
      </c>
      <c r="B18" t="s">
        <v>152</v>
      </c>
      <c r="C18" s="16">
        <f>'R0030_LFP_Total'!L10</f>
        <v>32.20655635915206</v>
      </c>
      <c r="D18" s="16">
        <f>'R0030_LFP_Total'!M10</f>
        <v>0.16462358314894923</v>
      </c>
      <c r="I18" s="85"/>
      <c r="L18" s="26"/>
      <c r="O18" s="90"/>
    </row>
    <row r="19" spans="1:15" x14ac:dyDescent="0.25">
      <c r="C19" s="16"/>
      <c r="H19" t="s">
        <v>154</v>
      </c>
      <c r="I19" s="85"/>
      <c r="J19" s="16" t="s">
        <v>149</v>
      </c>
      <c r="K19" t="s">
        <v>133</v>
      </c>
      <c r="L19" s="26">
        <f>'R0030_LFP_Exc_Electrolyte'!$O$10</f>
        <v>87.409671536627627</v>
      </c>
      <c r="M19" s="16" t="s">
        <v>134</v>
      </c>
      <c r="N19" t="s">
        <v>152</v>
      </c>
      <c r="O19" s="90"/>
    </row>
    <row r="20" spans="1:15" x14ac:dyDescent="0.25">
      <c r="A20" s="16" t="s">
        <v>77</v>
      </c>
      <c r="B20" t="s">
        <v>45</v>
      </c>
      <c r="C20" s="16">
        <f>'R0030_LFP_Total'!L5</f>
        <v>0</v>
      </c>
      <c r="I20" s="85"/>
      <c r="J20" s="16" t="s">
        <v>149</v>
      </c>
      <c r="K20" t="s">
        <v>133</v>
      </c>
      <c r="L20" s="26">
        <f>'R0030_LFP_Exc_Electrolyte'!$O$4</f>
        <v>3.5961587530071393</v>
      </c>
      <c r="M20" s="16" t="s">
        <v>134</v>
      </c>
      <c r="N20" t="s">
        <v>77</v>
      </c>
      <c r="O20" s="90"/>
    </row>
    <row r="21" spans="1:15" x14ac:dyDescent="0.25">
      <c r="A21" s="16"/>
      <c r="B21" t="s">
        <v>46</v>
      </c>
      <c r="C21" s="16">
        <f>'R0030_LFP_Total'!L6</f>
        <v>6.7471294505304188E-2</v>
      </c>
      <c r="I21" s="85"/>
      <c r="L21" s="26"/>
      <c r="M21" s="16"/>
      <c r="O21" s="90"/>
    </row>
    <row r="22" spans="1:15" x14ac:dyDescent="0.25">
      <c r="B22" t="s">
        <v>155</v>
      </c>
      <c r="C22" s="16">
        <f>'R0030_LFP_Total'!L7</f>
        <v>0</v>
      </c>
      <c r="H22" t="s">
        <v>156</v>
      </c>
      <c r="I22" s="85"/>
      <c r="J22" t="s">
        <v>152</v>
      </c>
      <c r="K22" t="s">
        <v>133</v>
      </c>
      <c r="L22" s="26">
        <f>'R0030_LFP_Exc_Electrolyte'!$O$11</f>
        <v>45.819954671630953</v>
      </c>
      <c r="M22" t="s">
        <v>134</v>
      </c>
      <c r="N22" s="16" t="s">
        <v>17</v>
      </c>
      <c r="O22" s="90"/>
    </row>
    <row r="23" spans="1:15" x14ac:dyDescent="0.25">
      <c r="B23" t="s">
        <v>47</v>
      </c>
      <c r="C23" s="16">
        <f>'R0030_LFP_Total'!L8</f>
        <v>7.7109229437651763E-2</v>
      </c>
      <c r="I23" s="85"/>
      <c r="J23" t="s">
        <v>152</v>
      </c>
      <c r="K23" t="s">
        <v>133</v>
      </c>
      <c r="L23" s="26">
        <f>'R0030_LFP_Exc_Electrolyte'!$O$17</f>
        <v>41.589716864996689</v>
      </c>
      <c r="M23" t="s">
        <v>134</v>
      </c>
      <c r="N23" s="16" t="s">
        <v>157</v>
      </c>
      <c r="O23" s="90"/>
    </row>
    <row r="24" spans="1:15" x14ac:dyDescent="0.25">
      <c r="B24" t="s">
        <v>48</v>
      </c>
      <c r="C24" s="16">
        <f>'R0030_LFP_Total'!L9</f>
        <v>1.205518040890833</v>
      </c>
      <c r="I24" s="85"/>
      <c r="L24" s="26"/>
      <c r="O24" s="90"/>
    </row>
    <row r="25" spans="1:15" x14ac:dyDescent="0.25">
      <c r="A25" t="s">
        <v>152</v>
      </c>
      <c r="B25" t="s">
        <v>17</v>
      </c>
      <c r="C25" s="16">
        <f>'R0030_LFP_Total'!L11</f>
        <v>14.56737909492306</v>
      </c>
      <c r="H25" t="s">
        <v>159</v>
      </c>
      <c r="I25" s="85"/>
      <c r="J25" t="s">
        <v>17</v>
      </c>
      <c r="K25" t="s">
        <v>133</v>
      </c>
      <c r="L25" s="26">
        <f>'R0030_LFP_Exc_Electrolyte'!$O$12</f>
        <v>40.779013230988866</v>
      </c>
      <c r="M25" t="s">
        <v>134</v>
      </c>
      <c r="N25" s="16" t="s">
        <v>160</v>
      </c>
      <c r="O25" s="90"/>
    </row>
    <row r="26" spans="1:15" x14ac:dyDescent="0.25">
      <c r="A26" t="s">
        <v>152</v>
      </c>
      <c r="B26" t="s">
        <v>18</v>
      </c>
      <c r="C26" s="16">
        <f>'R0030_LFP_Total'!L17</f>
        <v>17.639177264229001</v>
      </c>
      <c r="I26" s="85"/>
      <c r="J26" t="s">
        <v>17</v>
      </c>
      <c r="K26" t="s">
        <v>133</v>
      </c>
      <c r="L26" s="26">
        <f>'R0030_LFP_Exc_Electrolyte'!$O$13</f>
        <v>1.7096207882518795</v>
      </c>
      <c r="M26" t="s">
        <v>134</v>
      </c>
      <c r="N26" s="16" t="s">
        <v>161</v>
      </c>
      <c r="O26" s="90"/>
    </row>
    <row r="27" spans="1:15" x14ac:dyDescent="0.25">
      <c r="I27" s="85"/>
      <c r="J27" t="s">
        <v>17</v>
      </c>
      <c r="K27" t="s">
        <v>133</v>
      </c>
      <c r="L27" s="26">
        <f>'R0030_LFP_Exc_Electrolyte'!$O$14</f>
        <v>1.929615131967189</v>
      </c>
      <c r="M27" t="s">
        <v>134</v>
      </c>
      <c r="N27" s="16" t="s">
        <v>163</v>
      </c>
      <c r="O27" s="90"/>
    </row>
    <row r="28" spans="1:15" x14ac:dyDescent="0.25">
      <c r="I28" s="85"/>
      <c r="J28" t="s">
        <v>17</v>
      </c>
      <c r="K28" t="s">
        <v>133</v>
      </c>
      <c r="L28" s="26">
        <f>'R0030_LFP_Exc_Electrolyte'!$O$15</f>
        <v>1.3680468033300444</v>
      </c>
      <c r="M28" t="s">
        <v>134</v>
      </c>
      <c r="N28" s="16" t="s">
        <v>164</v>
      </c>
      <c r="O28" s="90"/>
    </row>
    <row r="29" spans="1:15" x14ac:dyDescent="0.25">
      <c r="I29" s="85"/>
      <c r="J29" t="s">
        <v>17</v>
      </c>
      <c r="K29" t="s">
        <v>133</v>
      </c>
      <c r="L29" s="26">
        <f>'R0030_LFP_Exc_Electrolyte'!$O$16</f>
        <v>3.3658717092971566E-2</v>
      </c>
      <c r="M29" t="s">
        <v>134</v>
      </c>
      <c r="N29" s="16" t="s">
        <v>165</v>
      </c>
      <c r="O29" s="90"/>
    </row>
    <row r="30" spans="1:15" x14ac:dyDescent="0.25">
      <c r="B30" t="s">
        <v>226</v>
      </c>
      <c r="C30" s="44" t="s">
        <v>225</v>
      </c>
      <c r="D30" t="s">
        <v>167</v>
      </c>
      <c r="E30" t="s">
        <v>168</v>
      </c>
      <c r="F30" t="s">
        <v>169</v>
      </c>
      <c r="I30" s="85"/>
      <c r="L30" s="26"/>
      <c r="O30" s="90"/>
    </row>
    <row r="31" spans="1:15" x14ac:dyDescent="0.25">
      <c r="A31" s="16" t="s">
        <v>45</v>
      </c>
      <c r="B31" s="26">
        <f>'R0030_LFP_Total'!C26</f>
        <v>41.416213628748253</v>
      </c>
      <c r="C31">
        <f>'R0030_LFP_Inc_Electrolyte'!D83</f>
        <v>0.31727983618837174</v>
      </c>
      <c r="D31" s="26">
        <f>B31/100</f>
        <v>0.41416213628748255</v>
      </c>
      <c r="E31">
        <f>100*B31/SUM($B$31:$B$34)</f>
        <v>50.061993717969912</v>
      </c>
      <c r="F31">
        <f>100*B31/SUM($B$31:$B$34)</f>
        <v>50.061993717969912</v>
      </c>
      <c r="I31" s="85"/>
      <c r="J31" s="16" t="s">
        <v>157</v>
      </c>
      <c r="K31" t="s">
        <v>133</v>
      </c>
      <c r="L31" s="26">
        <f>'R0030_LFP_Exc_Electrolyte'!$O$18</f>
        <v>0.22198561798145255</v>
      </c>
      <c r="M31" t="s">
        <v>134</v>
      </c>
      <c r="N31" s="16" t="s">
        <v>171</v>
      </c>
      <c r="O31" s="90"/>
    </row>
    <row r="32" spans="1:15" x14ac:dyDescent="0.25">
      <c r="A32" s="16" t="s">
        <v>46</v>
      </c>
      <c r="B32" s="26">
        <f>'R0030_LFP_Total'!C27</f>
        <v>32.632406742571888</v>
      </c>
      <c r="C32">
        <f>'R0030_LFP_Inc_Electrolyte'!D84</f>
        <v>0.15857566904666354</v>
      </c>
      <c r="D32" s="26">
        <f>B32/100</f>
        <v>0.3263240674257189</v>
      </c>
      <c r="E32">
        <f>100*B32/SUM($B$31:$B$34)</f>
        <v>39.444536286989575</v>
      </c>
      <c r="F32">
        <f>100*B32/SUM($B$31:$B$34)</f>
        <v>39.444536286989575</v>
      </c>
      <c r="I32" s="85"/>
      <c r="J32" s="16" t="s">
        <v>157</v>
      </c>
      <c r="K32" t="s">
        <v>133</v>
      </c>
      <c r="L32" s="26">
        <f>'R0030_LFP_Exc_Electrolyte'!$O$19</f>
        <v>32.870734857521875</v>
      </c>
      <c r="M32" t="s">
        <v>134</v>
      </c>
      <c r="N32" s="16" t="s">
        <v>172</v>
      </c>
      <c r="O32" s="90"/>
    </row>
    <row r="33" spans="1:15" x14ac:dyDescent="0.25">
      <c r="A33" s="16" t="s">
        <v>47</v>
      </c>
      <c r="B33" s="26">
        <f>'R0030_LFP_Total'!C28</f>
        <v>4.8073306663931348</v>
      </c>
      <c r="C33">
        <f>'R0030_LFP_Inc_Electrolyte'!D85</f>
        <v>1.360987070955175E-2</v>
      </c>
      <c r="D33" s="26">
        <f>B33/100</f>
        <v>4.8073306663931351E-2</v>
      </c>
      <c r="E33">
        <f>100*B33/SUM($B$31:$B$34)</f>
        <v>5.8108778310464535</v>
      </c>
      <c r="F33">
        <f>100*B33/SUM($B$31:$B$34)</f>
        <v>5.8108778310464535</v>
      </c>
      <c r="I33" s="85"/>
      <c r="J33" s="16" t="s">
        <v>157</v>
      </c>
      <c r="K33" t="s">
        <v>133</v>
      </c>
      <c r="L33" s="26">
        <f>'R0030_LFP_Exc_Electrolyte'!$O$20</f>
        <v>3.1780499801107549</v>
      </c>
      <c r="M33" t="s">
        <v>134</v>
      </c>
      <c r="N33" s="16" t="s">
        <v>174</v>
      </c>
      <c r="O33" s="90"/>
    </row>
    <row r="34" spans="1:15" x14ac:dyDescent="0.25">
      <c r="A34" s="16" t="s">
        <v>48</v>
      </c>
      <c r="B34" s="26">
        <f>'R0030_LFP_Total'!C29</f>
        <v>3.873901596744965</v>
      </c>
      <c r="C34">
        <f>'R0030_LFP_Inc_Electrolyte'!D86</f>
        <v>0.18435543609778107</v>
      </c>
      <c r="D34" s="26">
        <f>B34/100</f>
        <v>3.873901596744965E-2</v>
      </c>
      <c r="E34">
        <f>100*B34/SUM($B$31:$B$34)</f>
        <v>4.6825921639940473</v>
      </c>
      <c r="F34">
        <f>100*B34/SUM($B$31:$B$34)</f>
        <v>4.6825921639940473</v>
      </c>
      <c r="I34" s="85"/>
      <c r="J34" s="16" t="s">
        <v>157</v>
      </c>
      <c r="K34" t="s">
        <v>133</v>
      </c>
      <c r="L34" s="26">
        <f>'R0030_LFP_Exc_Electrolyte'!$O$21</f>
        <v>4.6812614256802938</v>
      </c>
      <c r="M34" t="s">
        <v>134</v>
      </c>
      <c r="N34" s="16" t="s">
        <v>175</v>
      </c>
      <c r="O34" s="90"/>
    </row>
    <row r="35" spans="1:15" x14ac:dyDescent="0.25">
      <c r="A35" s="16" t="s">
        <v>49</v>
      </c>
      <c r="B35" s="26">
        <f>'R0030_LFP_Total'!C30</f>
        <v>17.270147365541764</v>
      </c>
      <c r="C35">
        <f>'R0030_LFP_Inc_Electrolyte'!D87</f>
        <v>0.68723977625045918</v>
      </c>
      <c r="F35">
        <f>100*B35/SUM($B$31:$B$34)</f>
        <v>20.875351297735158</v>
      </c>
      <c r="I35" s="85"/>
      <c r="J35" s="16" t="s">
        <v>157</v>
      </c>
      <c r="K35" t="s">
        <v>133</v>
      </c>
      <c r="L35" s="26">
        <f>'R0030_LFP_Exc_Electrolyte'!$O$22</f>
        <v>0.63768498370230864</v>
      </c>
      <c r="M35" t="s">
        <v>134</v>
      </c>
      <c r="N35" s="16" t="s">
        <v>176</v>
      </c>
      <c r="O35" s="90"/>
    </row>
    <row r="36" spans="1:15" x14ac:dyDescent="0.25">
      <c r="I36" s="85"/>
      <c r="L36" s="26"/>
      <c r="M36" s="16"/>
      <c r="O36" s="90"/>
    </row>
    <row r="37" spans="1:15" x14ac:dyDescent="0.25">
      <c r="A37" s="16" t="s">
        <v>35</v>
      </c>
      <c r="B37" s="26">
        <f>SUM(B31:B35)</f>
        <v>100.00000000000001</v>
      </c>
      <c r="D37" s="26">
        <f>SUM(D31:D35)</f>
        <v>0.82729852634458245</v>
      </c>
      <c r="E37" s="26">
        <f>SUM(E31:E35)</f>
        <v>99.999999999999986</v>
      </c>
      <c r="F37" s="26">
        <f>SUM(F31:F35)</f>
        <v>120.87535129773514</v>
      </c>
      <c r="I37" s="85"/>
      <c r="J37" s="16" t="s">
        <v>77</v>
      </c>
      <c r="K37" t="s">
        <v>133</v>
      </c>
      <c r="L37" s="26">
        <f>'R0030_LFP_Exc_Electrolyte'!$O$5</f>
        <v>0.10882209390074862</v>
      </c>
      <c r="M37" t="s">
        <v>134</v>
      </c>
      <c r="N37" s="16" t="s">
        <v>178</v>
      </c>
      <c r="O37" s="90"/>
    </row>
    <row r="38" spans="1:15" x14ac:dyDescent="0.25">
      <c r="I38" s="85"/>
      <c r="J38" s="16" t="s">
        <v>77</v>
      </c>
      <c r="K38" t="s">
        <v>133</v>
      </c>
      <c r="L38" s="26">
        <f>'R0030_LFP_Exc_Electrolyte'!$O$6</f>
        <v>0.14957968998623222</v>
      </c>
      <c r="M38" t="s">
        <v>134</v>
      </c>
      <c r="N38" s="16" t="s">
        <v>179</v>
      </c>
      <c r="O38" s="90"/>
    </row>
    <row r="39" spans="1:15" x14ac:dyDescent="0.25">
      <c r="I39" s="85"/>
      <c r="J39" s="16" t="s">
        <v>77</v>
      </c>
      <c r="K39" t="s">
        <v>133</v>
      </c>
      <c r="L39" s="26">
        <f>'R0030_LFP_Exc_Electrolyte'!$O$7</f>
        <v>7.710628801998097E-2</v>
      </c>
      <c r="M39" t="s">
        <v>134</v>
      </c>
      <c r="N39" s="16" t="s">
        <v>180</v>
      </c>
      <c r="O39" s="90"/>
    </row>
    <row r="40" spans="1:15" x14ac:dyDescent="0.25">
      <c r="B40" t="s">
        <v>182</v>
      </c>
      <c r="C40" t="s">
        <v>63</v>
      </c>
      <c r="D40" t="s">
        <v>183</v>
      </c>
      <c r="I40" s="85"/>
      <c r="J40" s="16" t="s">
        <v>77</v>
      </c>
      <c r="K40" t="s">
        <v>133</v>
      </c>
      <c r="L40" s="26">
        <f>'R0030_LFP_Exc_Electrolyte'!$O$8</f>
        <v>0.41602919308680469</v>
      </c>
      <c r="M40" t="s">
        <v>134</v>
      </c>
      <c r="N40" s="16" t="s">
        <v>185</v>
      </c>
      <c r="O40" s="90"/>
    </row>
    <row r="41" spans="1:15" x14ac:dyDescent="0.25">
      <c r="A41" t="s">
        <v>45</v>
      </c>
      <c r="B41" s="57">
        <f>'R0030_LFP_Total'!K26</f>
        <v>8.9521727750988447</v>
      </c>
      <c r="C41" s="57">
        <f>'R0030_LFP_Total'!L26</f>
        <v>1.1751548144635928</v>
      </c>
      <c r="D41">
        <f>(100*B41/SUM($B$41:$B$44)+(100*B43/SUM($B$41:$B$44)))</f>
        <v>58.521388299758009</v>
      </c>
      <c r="I41" s="85"/>
      <c r="J41" s="16" t="s">
        <v>77</v>
      </c>
      <c r="K41" t="s">
        <v>133</v>
      </c>
      <c r="L41" s="26">
        <f>'R0030_LFP_Exc_Electrolyte'!$O$9</f>
        <v>2.844621488013372</v>
      </c>
      <c r="M41" t="s">
        <v>134</v>
      </c>
      <c r="N41" s="16" t="s">
        <v>187</v>
      </c>
      <c r="O41" s="90"/>
    </row>
    <row r="42" spans="1:15" x14ac:dyDescent="0.25">
      <c r="A42" t="s">
        <v>46</v>
      </c>
      <c r="B42" s="57">
        <f>'R0030_LFP_Total'!K27</f>
        <v>4.7146009512295919</v>
      </c>
      <c r="C42" s="57">
        <f>'R0030_LFP_Total'!L27</f>
        <v>2.0759731045310943</v>
      </c>
      <c r="D42">
        <f>100*B42/SUM($B$41:$B$44)</f>
        <v>33.250726655113347</v>
      </c>
      <c r="I42" s="85"/>
      <c r="L42" s="26"/>
      <c r="M42" s="16"/>
      <c r="O42" s="90"/>
    </row>
    <row r="43" spans="1:15" x14ac:dyDescent="0.25">
      <c r="A43" t="s">
        <v>47</v>
      </c>
      <c r="B43">
        <f>'R0030_LFP_Total'!K28</f>
        <v>-0.65445959105069029</v>
      </c>
      <c r="C43">
        <f>'R0030_LFP_Total'!L28</f>
        <v>1.1732018040335339</v>
      </c>
      <c r="D43">
        <f>100*B43/SUM($B$41:$B$44)-100*B43/SUM($B$41:$B$44)</f>
        <v>0</v>
      </c>
      <c r="G43" s="97"/>
      <c r="I43" s="85"/>
      <c r="J43" s="16" t="str">
        <f>N25</f>
        <v>Cathode-m</v>
      </c>
      <c r="K43" t="s">
        <v>133</v>
      </c>
      <c r="L43" s="26">
        <f>$L$25</f>
        <v>40.779013230988866</v>
      </c>
      <c r="M43" s="16" t="s">
        <v>134</v>
      </c>
      <c r="N43" s="16" t="s">
        <v>188</v>
      </c>
      <c r="O43" s="90"/>
    </row>
    <row r="44" spans="1:15" x14ac:dyDescent="0.25">
      <c r="A44" t="s">
        <v>48</v>
      </c>
      <c r="B44">
        <f>'R0030_LFP_Total'!K29</f>
        <v>1.166626975185395</v>
      </c>
      <c r="C44">
        <f>'R0030_LFP_Total'!L29</f>
        <v>0.50583879255268027</v>
      </c>
      <c r="D44">
        <f>100*B44/SUM($B$41:$B$44)</f>
        <v>8.2278850451286516</v>
      </c>
      <c r="I44" s="85"/>
      <c r="J44" s="16" t="str">
        <f>N27</f>
        <v>Unliberated-m</v>
      </c>
      <c r="K44" t="s">
        <v>133</v>
      </c>
      <c r="L44" s="26">
        <f>$L$27*$D$41/100</f>
        <v>1.1292375640694068</v>
      </c>
      <c r="M44" s="16" t="s">
        <v>134</v>
      </c>
      <c r="N44" s="16" t="s">
        <v>188</v>
      </c>
      <c r="O44" s="90"/>
    </row>
    <row r="45" spans="1:15" x14ac:dyDescent="0.25">
      <c r="I45" s="85"/>
      <c r="J45" s="16" t="str">
        <f>N31</f>
        <v>Cathode-n</v>
      </c>
      <c r="K45" t="s">
        <v>133</v>
      </c>
      <c r="L45" s="26">
        <f>$L$31</f>
        <v>0.22198561798145255</v>
      </c>
      <c r="M45" s="16" t="s">
        <v>134</v>
      </c>
      <c r="N45" s="16" t="s">
        <v>188</v>
      </c>
      <c r="O45" s="90"/>
    </row>
    <row r="46" spans="1:15" x14ac:dyDescent="0.25">
      <c r="I46" s="85"/>
      <c r="J46" s="16" t="str">
        <f>N33</f>
        <v>Unliberated-n</v>
      </c>
      <c r="K46" t="s">
        <v>133</v>
      </c>
      <c r="L46" s="26">
        <f>$L$33*$D$41/100</f>
        <v>1.8598389692209971</v>
      </c>
      <c r="M46" s="16" t="s">
        <v>134</v>
      </c>
      <c r="N46" s="16" t="s">
        <v>188</v>
      </c>
      <c r="O46" s="90"/>
    </row>
    <row r="47" spans="1:15" x14ac:dyDescent="0.25">
      <c r="I47" s="85"/>
      <c r="J47" s="16" t="str">
        <f>N37</f>
        <v>Cathode-i</v>
      </c>
      <c r="K47" t="s">
        <v>133</v>
      </c>
      <c r="L47" s="26">
        <f>$L$37</f>
        <v>0.10882209390074862</v>
      </c>
      <c r="M47" s="16" t="s">
        <v>134</v>
      </c>
      <c r="N47" s="16" t="s">
        <v>188</v>
      </c>
      <c r="O47" s="90"/>
    </row>
    <row r="48" spans="1:15" x14ac:dyDescent="0.25">
      <c r="I48" s="85"/>
      <c r="J48" s="16" t="str">
        <f>N39</f>
        <v>Unliberated-i</v>
      </c>
      <c r="K48" t="s">
        <v>133</v>
      </c>
      <c r="L48" s="26">
        <f>$L$39*$D$41/100</f>
        <v>4.5123670215702856E-2</v>
      </c>
      <c r="M48" s="16" t="s">
        <v>134</v>
      </c>
      <c r="N48" s="16" t="s">
        <v>188</v>
      </c>
      <c r="O48" s="90"/>
    </row>
    <row r="49" spans="2:15" x14ac:dyDescent="0.25">
      <c r="I49" s="85"/>
      <c r="J49" t="s">
        <v>150</v>
      </c>
      <c r="K49" t="s">
        <v>133</v>
      </c>
      <c r="L49" s="26">
        <f>$L$16*$D$41/100</f>
        <v>2.7941046430984797</v>
      </c>
      <c r="M49" s="16" t="s">
        <v>134</v>
      </c>
      <c r="N49" s="16" t="s">
        <v>188</v>
      </c>
      <c r="O49" s="90"/>
    </row>
    <row r="50" spans="2:15" x14ac:dyDescent="0.25">
      <c r="I50" s="85"/>
      <c r="J50" t="s">
        <v>151</v>
      </c>
      <c r="K50" t="s">
        <v>133</v>
      </c>
      <c r="L50" s="26">
        <f>$L$17*$D$41/100</f>
        <v>2.469408337443566</v>
      </c>
      <c r="M50" s="16" t="s">
        <v>134</v>
      </c>
      <c r="N50" s="16" t="s">
        <v>188</v>
      </c>
      <c r="O50" s="90"/>
    </row>
    <row r="51" spans="2:15" x14ac:dyDescent="0.25">
      <c r="B51" s="16"/>
      <c r="F51" s="16"/>
      <c r="G51" s="16"/>
      <c r="I51" s="85"/>
      <c r="L51" s="26"/>
      <c r="O51" s="90"/>
    </row>
    <row r="52" spans="2:15" x14ac:dyDescent="0.25">
      <c r="E52" s="74" t="s">
        <v>189</v>
      </c>
      <c r="I52" s="85"/>
      <c r="J52" s="16" t="str">
        <f>N26</f>
        <v>Anode-m</v>
      </c>
      <c r="K52" t="s">
        <v>133</v>
      </c>
      <c r="L52" s="26">
        <f>$L$26</f>
        <v>1.7096207882518795</v>
      </c>
      <c r="M52" s="16" t="s">
        <v>134</v>
      </c>
      <c r="N52" s="16" t="s">
        <v>190</v>
      </c>
      <c r="O52" s="90"/>
    </row>
    <row r="53" spans="2:15" x14ac:dyDescent="0.25">
      <c r="B53" s="16"/>
      <c r="D53" t="s">
        <v>45</v>
      </c>
      <c r="E53" s="29" t="s">
        <v>138</v>
      </c>
      <c r="I53" s="85"/>
      <c r="J53" s="16" t="str">
        <f>N27</f>
        <v>Unliberated-m</v>
      </c>
      <c r="K53" t="s">
        <v>133</v>
      </c>
      <c r="L53" s="26">
        <f>$L$27*$D$42/100</f>
        <v>0.64161105302611476</v>
      </c>
      <c r="M53" s="16" t="s">
        <v>134</v>
      </c>
      <c r="N53" s="16" t="s">
        <v>190</v>
      </c>
      <c r="O53" s="90"/>
    </row>
    <row r="54" spans="2:15" x14ac:dyDescent="0.25">
      <c r="E54" s="75" t="s">
        <v>181</v>
      </c>
      <c r="I54" s="85"/>
      <c r="J54" s="16" t="str">
        <f>N32</f>
        <v>Anode-n</v>
      </c>
      <c r="K54" t="s">
        <v>133</v>
      </c>
      <c r="L54" s="26">
        <f>$L$32</f>
        <v>32.870734857521875</v>
      </c>
      <c r="M54" s="16" t="s">
        <v>134</v>
      </c>
      <c r="N54" s="16" t="s">
        <v>190</v>
      </c>
      <c r="O54" s="90"/>
    </row>
    <row r="55" spans="2:15" x14ac:dyDescent="0.25">
      <c r="E55" s="71" t="s">
        <v>191</v>
      </c>
      <c r="I55" s="85"/>
      <c r="J55" s="16" t="str">
        <f>N33</f>
        <v>Unliberated-n</v>
      </c>
      <c r="K55" t="s">
        <v>133</v>
      </c>
      <c r="L55" s="26">
        <f>$L$33*$D$42/100</f>
        <v>1.0567247118495111</v>
      </c>
      <c r="M55" s="16" t="s">
        <v>134</v>
      </c>
      <c r="N55" s="16" t="s">
        <v>190</v>
      </c>
      <c r="O55" s="90"/>
    </row>
    <row r="56" spans="2:15" x14ac:dyDescent="0.25">
      <c r="E56" s="73" t="s">
        <v>192</v>
      </c>
      <c r="I56" s="85"/>
      <c r="J56" s="16" t="str">
        <f>N38</f>
        <v>Anode-i</v>
      </c>
      <c r="K56" t="s">
        <v>133</v>
      </c>
      <c r="L56" s="26">
        <f>$L$38</f>
        <v>0.14957968998623222</v>
      </c>
      <c r="M56" s="16" t="s">
        <v>134</v>
      </c>
      <c r="N56" s="16" t="s">
        <v>190</v>
      </c>
      <c r="O56" s="90"/>
    </row>
    <row r="57" spans="2:15" x14ac:dyDescent="0.25">
      <c r="E57" s="66" t="s">
        <v>193</v>
      </c>
      <c r="I57" s="85"/>
      <c r="J57" s="16" t="str">
        <f>N39</f>
        <v>Unliberated-i</v>
      </c>
      <c r="K57" t="s">
        <v>133</v>
      </c>
      <c r="L57" s="26">
        <f>$L$39*$D$42/100</f>
        <v>2.5638401063428282E-2</v>
      </c>
      <c r="M57" s="16" t="s">
        <v>134</v>
      </c>
      <c r="N57" s="16" t="s">
        <v>190</v>
      </c>
      <c r="O57" s="90"/>
    </row>
    <row r="58" spans="2:15" x14ac:dyDescent="0.25">
      <c r="D58" t="s">
        <v>46</v>
      </c>
      <c r="E58" s="62" t="s">
        <v>139</v>
      </c>
      <c r="I58" s="85"/>
      <c r="J58" t="s">
        <v>150</v>
      </c>
      <c r="K58" t="s">
        <v>133</v>
      </c>
      <c r="L58" s="26">
        <f>$L$16*$D$42/100</f>
        <v>1.5875564888783535</v>
      </c>
      <c r="M58" s="16" t="s">
        <v>134</v>
      </c>
      <c r="N58" s="16" t="s">
        <v>190</v>
      </c>
      <c r="O58" s="90"/>
    </row>
    <row r="59" spans="2:15" x14ac:dyDescent="0.25">
      <c r="E59" s="63" t="s">
        <v>186</v>
      </c>
      <c r="I59" s="85"/>
      <c r="J59" t="s">
        <v>151</v>
      </c>
      <c r="K59" t="s">
        <v>133</v>
      </c>
      <c r="L59" s="26">
        <f>$L$17*$D$42/100</f>
        <v>1.4030702964121826</v>
      </c>
      <c r="M59" s="16" t="s">
        <v>134</v>
      </c>
      <c r="N59" s="16" t="s">
        <v>190</v>
      </c>
      <c r="O59" s="90"/>
    </row>
    <row r="60" spans="2:15" x14ac:dyDescent="0.25">
      <c r="E60" s="65" t="s">
        <v>194</v>
      </c>
      <c r="I60" s="85"/>
      <c r="L60" s="26"/>
      <c r="O60" s="90"/>
    </row>
    <row r="61" spans="2:15" x14ac:dyDescent="0.25">
      <c r="E61" s="64" t="s">
        <v>153</v>
      </c>
      <c r="I61" s="85"/>
      <c r="J61" s="16" t="str">
        <f>N28</f>
        <v>Pouch-m</v>
      </c>
      <c r="K61" t="s">
        <v>133</v>
      </c>
      <c r="L61" s="26">
        <f>$L$28</f>
        <v>1.3680468033300444</v>
      </c>
      <c r="M61" s="16" t="s">
        <v>134</v>
      </c>
      <c r="N61" s="16" t="s">
        <v>195</v>
      </c>
      <c r="O61" s="90"/>
    </row>
    <row r="62" spans="2:15" x14ac:dyDescent="0.25">
      <c r="E62" s="76" t="s">
        <v>170</v>
      </c>
      <c r="I62" s="85"/>
      <c r="J62" s="16" t="str">
        <f>N27</f>
        <v>Unliberated-m</v>
      </c>
      <c r="K62" t="s">
        <v>133</v>
      </c>
      <c r="L62" s="26">
        <f>$L$27*$D$43/100</f>
        <v>0</v>
      </c>
      <c r="M62" s="16" t="s">
        <v>134</v>
      </c>
      <c r="N62" s="16" t="s">
        <v>195</v>
      </c>
      <c r="O62" s="90"/>
    </row>
    <row r="63" spans="2:15" x14ac:dyDescent="0.25">
      <c r="D63" t="s">
        <v>49</v>
      </c>
      <c r="E63" s="72" t="s">
        <v>142</v>
      </c>
      <c r="I63" s="85"/>
      <c r="J63" s="16" t="str">
        <f>N34</f>
        <v>Pouch-n</v>
      </c>
      <c r="K63" t="s">
        <v>133</v>
      </c>
      <c r="L63" s="26">
        <f>$L$34</f>
        <v>4.6812614256802938</v>
      </c>
      <c r="M63" s="16" t="s">
        <v>134</v>
      </c>
      <c r="N63" s="16" t="s">
        <v>195</v>
      </c>
      <c r="O63" s="90"/>
    </row>
    <row r="64" spans="2:15" x14ac:dyDescent="0.25">
      <c r="D64" t="s">
        <v>47</v>
      </c>
      <c r="E64" s="69" t="s">
        <v>196</v>
      </c>
      <c r="I64" s="85"/>
      <c r="J64" s="16" t="str">
        <f>N33</f>
        <v>Unliberated-n</v>
      </c>
      <c r="K64" t="s">
        <v>133</v>
      </c>
      <c r="L64" s="26">
        <f>$L$33*$D$43/100</f>
        <v>0</v>
      </c>
      <c r="M64" s="16" t="s">
        <v>134</v>
      </c>
      <c r="N64" s="16" t="s">
        <v>195</v>
      </c>
      <c r="O64" s="90"/>
    </row>
    <row r="65" spans="4:15" x14ac:dyDescent="0.25">
      <c r="E65" s="67" t="s">
        <v>177</v>
      </c>
      <c r="I65" s="85"/>
      <c r="J65" s="16" t="str">
        <f>N40</f>
        <v>Pouch-i</v>
      </c>
      <c r="K65" t="s">
        <v>133</v>
      </c>
      <c r="L65" s="26">
        <f>$L$40</f>
        <v>0.41602919308680469</v>
      </c>
      <c r="M65" s="16" t="s">
        <v>134</v>
      </c>
      <c r="N65" s="16" t="s">
        <v>195</v>
      </c>
      <c r="O65" s="90"/>
    </row>
    <row r="66" spans="4:15" x14ac:dyDescent="0.25">
      <c r="E66" s="68" t="s">
        <v>173</v>
      </c>
      <c r="I66" s="85"/>
      <c r="J66" s="16" t="str">
        <f>N39</f>
        <v>Unliberated-i</v>
      </c>
      <c r="K66" t="s">
        <v>133</v>
      </c>
      <c r="L66" s="26">
        <f>$L$39*$D$43/100</f>
        <v>0</v>
      </c>
      <c r="M66" s="16" t="s">
        <v>134</v>
      </c>
      <c r="N66" s="16" t="s">
        <v>195</v>
      </c>
      <c r="O66" s="90"/>
    </row>
    <row r="67" spans="4:15" x14ac:dyDescent="0.25">
      <c r="D67" t="s">
        <v>48</v>
      </c>
      <c r="E67" s="70" t="s">
        <v>141</v>
      </c>
      <c r="I67" s="85"/>
      <c r="J67" t="s">
        <v>150</v>
      </c>
      <c r="K67" t="s">
        <v>133</v>
      </c>
      <c r="L67" s="26">
        <f>$L$16*$D$43/100</f>
        <v>0</v>
      </c>
      <c r="M67" s="16" t="s">
        <v>134</v>
      </c>
      <c r="N67" s="16" t="s">
        <v>195</v>
      </c>
      <c r="O67" s="90"/>
    </row>
    <row r="68" spans="4:15" x14ac:dyDescent="0.25">
      <c r="D68" t="s">
        <v>197</v>
      </c>
      <c r="E68" s="78" t="s">
        <v>140</v>
      </c>
      <c r="I68" s="85"/>
      <c r="J68" t="s">
        <v>151</v>
      </c>
      <c r="K68" t="s">
        <v>133</v>
      </c>
      <c r="L68" s="26">
        <f>$L$17*$D$43/100</f>
        <v>0</v>
      </c>
      <c r="M68" s="16" t="s">
        <v>134</v>
      </c>
      <c r="N68" s="16" t="s">
        <v>195</v>
      </c>
      <c r="O68" s="90"/>
    </row>
    <row r="69" spans="4:15" x14ac:dyDescent="0.25">
      <c r="I69" s="85"/>
      <c r="L69" s="26"/>
      <c r="O69" s="90"/>
    </row>
    <row r="70" spans="4:15" x14ac:dyDescent="0.25">
      <c r="I70" s="85"/>
      <c r="J70" s="16" t="str">
        <f>N29</f>
        <v>Separator-m</v>
      </c>
      <c r="K70" t="s">
        <v>133</v>
      </c>
      <c r="L70" s="26">
        <f>$L$29</f>
        <v>3.3658717092971566E-2</v>
      </c>
      <c r="M70" s="16" t="s">
        <v>134</v>
      </c>
      <c r="N70" s="16" t="s">
        <v>198</v>
      </c>
      <c r="O70" s="90"/>
    </row>
    <row r="71" spans="4:15" x14ac:dyDescent="0.25">
      <c r="I71" s="85"/>
      <c r="J71" s="16" t="str">
        <f>N27</f>
        <v>Unliberated-m</v>
      </c>
      <c r="K71" t="s">
        <v>133</v>
      </c>
      <c r="L71" s="26">
        <f>$L$27*$D$44/100</f>
        <v>0.15876651487166785</v>
      </c>
      <c r="M71" s="16" t="s">
        <v>134</v>
      </c>
      <c r="N71" s="16" t="s">
        <v>198</v>
      </c>
      <c r="O71" s="90"/>
    </row>
    <row r="72" spans="4:15" x14ac:dyDescent="0.25">
      <c r="I72" s="85"/>
      <c r="J72" s="16" t="str">
        <f>N35</f>
        <v>Separator-n</v>
      </c>
      <c r="K72" t="s">
        <v>133</v>
      </c>
      <c r="L72" s="26">
        <f>$L$35</f>
        <v>0.63768498370230864</v>
      </c>
      <c r="M72" s="16" t="s">
        <v>134</v>
      </c>
      <c r="N72" s="16" t="s">
        <v>198</v>
      </c>
      <c r="O72" s="90"/>
    </row>
    <row r="73" spans="4:15" x14ac:dyDescent="0.25">
      <c r="I73" s="85"/>
      <c r="J73" s="16" t="str">
        <f>N33</f>
        <v>Unliberated-n</v>
      </c>
      <c r="K73" t="s">
        <v>133</v>
      </c>
      <c r="L73" s="26">
        <f>$L$33*$D$44/100</f>
        <v>0.26148629904024689</v>
      </c>
      <c r="M73" s="16" t="s">
        <v>134</v>
      </c>
      <c r="N73" s="16" t="s">
        <v>198</v>
      </c>
      <c r="O73" s="90"/>
    </row>
    <row r="74" spans="4:15" x14ac:dyDescent="0.25">
      <c r="I74" s="85"/>
      <c r="J74" s="16" t="str">
        <f>N41</f>
        <v>Separator-i</v>
      </c>
      <c r="K74" t="s">
        <v>133</v>
      </c>
      <c r="L74" s="26">
        <f>$L$41</f>
        <v>2.844621488013372</v>
      </c>
      <c r="M74" s="16" t="s">
        <v>134</v>
      </c>
      <c r="N74" s="16" t="s">
        <v>198</v>
      </c>
      <c r="O74" s="90"/>
    </row>
    <row r="75" spans="4:15" x14ac:dyDescent="0.25">
      <c r="I75" s="85"/>
      <c r="J75" s="16" t="str">
        <f>N39</f>
        <v>Unliberated-i</v>
      </c>
      <c r="K75" t="s">
        <v>133</v>
      </c>
      <c r="L75" s="26">
        <f>$L$39*$D$44/100</f>
        <v>6.3442167408498396E-3</v>
      </c>
      <c r="M75" s="16" t="s">
        <v>134</v>
      </c>
      <c r="N75" s="16" t="s">
        <v>198</v>
      </c>
      <c r="O75" s="90"/>
    </row>
    <row r="76" spans="4:15" x14ac:dyDescent="0.25">
      <c r="I76" s="85"/>
      <c r="J76" t="s">
        <v>150</v>
      </c>
      <c r="K76" t="s">
        <v>133</v>
      </c>
      <c r="L76" s="26">
        <f>$L$16*$D$44/100</f>
        <v>0.39284050627297867</v>
      </c>
      <c r="M76" s="16" t="s">
        <v>134</v>
      </c>
      <c r="N76" s="16" t="s">
        <v>198</v>
      </c>
      <c r="O76" s="90"/>
    </row>
    <row r="77" spans="4:15" x14ac:dyDescent="0.25">
      <c r="I77" s="85"/>
      <c r="J77" t="s">
        <v>151</v>
      </c>
      <c r="K77" t="s">
        <v>133</v>
      </c>
      <c r="L77" s="26">
        <f>$L$17*$D$44/100</f>
        <v>0.34718943825965143</v>
      </c>
      <c r="M77" s="16" t="s">
        <v>134</v>
      </c>
      <c r="N77" s="16" t="s">
        <v>198</v>
      </c>
      <c r="O77" s="90"/>
    </row>
    <row r="78" spans="4:15" x14ac:dyDescent="0.25">
      <c r="I78" s="85"/>
      <c r="O78" s="90"/>
    </row>
    <row r="79" spans="4:15" x14ac:dyDescent="0.25">
      <c r="I79" s="85"/>
      <c r="K79" t="s">
        <v>158</v>
      </c>
      <c r="L79" s="16" t="s">
        <v>45</v>
      </c>
      <c r="N79" s="29" t="s">
        <v>138</v>
      </c>
      <c r="O79" s="90"/>
    </row>
    <row r="80" spans="4:15" x14ac:dyDescent="0.25">
      <c r="I80" s="85"/>
      <c r="K80" t="s">
        <v>158</v>
      </c>
      <c r="L80" s="16" t="s">
        <v>46</v>
      </c>
      <c r="N80" s="62" t="s">
        <v>139</v>
      </c>
      <c r="O80" s="90"/>
    </row>
    <row r="81" spans="9:15" x14ac:dyDescent="0.25">
      <c r="I81" s="85"/>
      <c r="K81" t="s">
        <v>158</v>
      </c>
      <c r="L81" s="16" t="s">
        <v>47</v>
      </c>
      <c r="N81" s="78" t="s">
        <v>140</v>
      </c>
      <c r="O81" s="90"/>
    </row>
    <row r="82" spans="9:15" x14ac:dyDescent="0.25">
      <c r="I82" s="85"/>
      <c r="K82" t="s">
        <v>158</v>
      </c>
      <c r="L82" s="16" t="s">
        <v>48</v>
      </c>
      <c r="N82" s="70" t="s">
        <v>141</v>
      </c>
      <c r="O82" s="90"/>
    </row>
    <row r="83" spans="9:15" x14ac:dyDescent="0.25">
      <c r="I83" s="85"/>
      <c r="K83" t="s">
        <v>158</v>
      </c>
      <c r="L83" s="16" t="s">
        <v>49</v>
      </c>
      <c r="N83" s="72" t="s">
        <v>142</v>
      </c>
      <c r="O83" s="90"/>
    </row>
    <row r="84" spans="9:15" x14ac:dyDescent="0.25">
      <c r="I84" s="85"/>
      <c r="K84" t="s">
        <v>158</v>
      </c>
      <c r="L84" t="str" cm="1">
        <f t="array" ref="L84:L113">_xlfn.UNIQUE(_xlfn._xlws.FILTER(N4:N77,N4:N77&lt;&gt;""))</f>
        <v>Whole Cell</v>
      </c>
      <c r="N84" s="76" t="s">
        <v>170</v>
      </c>
      <c r="O84" s="90"/>
    </row>
    <row r="85" spans="9:15" x14ac:dyDescent="0.25">
      <c r="I85" s="85"/>
      <c r="K85" t="s">
        <v>158</v>
      </c>
      <c r="L85" s="16" t="str">
        <v>Shredded Cell</v>
      </c>
      <c r="N85" s="76" t="s">
        <v>170</v>
      </c>
      <c r="O85" s="90"/>
    </row>
    <row r="86" spans="9:15" x14ac:dyDescent="0.25">
      <c r="I86" s="85"/>
      <c r="K86" t="s">
        <v>158</v>
      </c>
      <c r="L86" t="str">
        <v>Dry Cell Pieces</v>
      </c>
      <c r="N86" s="68" t="s">
        <v>173</v>
      </c>
      <c r="O86" s="90"/>
    </row>
    <row r="87" spans="9:15" x14ac:dyDescent="0.25">
      <c r="I87" s="85"/>
      <c r="K87" t="s">
        <v>158</v>
      </c>
      <c r="L87" s="16" t="str">
        <v>Electrolyte out</v>
      </c>
      <c r="N87" s="72" t="s">
        <v>142</v>
      </c>
      <c r="O87" s="90"/>
    </row>
    <row r="88" spans="9:15" x14ac:dyDescent="0.25">
      <c r="I88" s="85"/>
      <c r="K88" t="s">
        <v>158</v>
      </c>
      <c r="L88" s="16" t="str">
        <v>1-11.2mm dry cell pieces</v>
      </c>
      <c r="N88" s="76" t="s">
        <v>170</v>
      </c>
      <c r="O88" s="90"/>
    </row>
    <row r="89" spans="9:15" x14ac:dyDescent="0.25">
      <c r="I89" s="85"/>
      <c r="K89" t="s">
        <v>158</v>
      </c>
      <c r="L89" t="str">
        <v>&lt;1mm pieces</v>
      </c>
      <c r="N89" s="67" t="s">
        <v>177</v>
      </c>
      <c r="O89" s="90"/>
    </row>
    <row r="90" spans="9:15" x14ac:dyDescent="0.25">
      <c r="I90" s="85"/>
      <c r="K90" t="s">
        <v>158</v>
      </c>
      <c r="L90" t="str">
        <v>&gt;11.2mm pieces</v>
      </c>
      <c r="N90" s="67" t="s">
        <v>177</v>
      </c>
      <c r="O90" s="90"/>
    </row>
    <row r="91" spans="9:15" x14ac:dyDescent="0.25">
      <c r="I91" s="85"/>
      <c r="K91" t="s">
        <v>158</v>
      </c>
      <c r="L91" t="str">
        <v>Conductors</v>
      </c>
      <c r="N91" s="67" t="s">
        <v>177</v>
      </c>
      <c r="O91" s="90"/>
    </row>
    <row r="92" spans="9:15" x14ac:dyDescent="0.25">
      <c r="I92" s="85"/>
      <c r="K92" t="s">
        <v>158</v>
      </c>
      <c r="L92" t="str">
        <v>Insulators</v>
      </c>
      <c r="N92" s="70" t="s">
        <v>141</v>
      </c>
      <c r="O92" s="90"/>
    </row>
    <row r="93" spans="9:15" x14ac:dyDescent="0.25">
      <c r="I93" s="85"/>
      <c r="K93" t="s">
        <v>158</v>
      </c>
      <c r="L93" t="str">
        <v>Magnetic</v>
      </c>
      <c r="N93" s="75" t="s">
        <v>181</v>
      </c>
      <c r="O93" s="90"/>
    </row>
    <row r="94" spans="9:15" x14ac:dyDescent="0.25">
      <c r="I94" s="85"/>
      <c r="K94" t="s">
        <v>158</v>
      </c>
      <c r="L94" t="str">
        <v>Non-Magnetic</v>
      </c>
      <c r="N94" s="63" t="s">
        <v>186</v>
      </c>
      <c r="O94" s="90"/>
    </row>
    <row r="95" spans="9:15" x14ac:dyDescent="0.25">
      <c r="I95" s="85"/>
      <c r="K95" t="s">
        <v>158</v>
      </c>
      <c r="L95" t="str">
        <v>Cathode-m</v>
      </c>
      <c r="N95" s="29" t="s">
        <v>138</v>
      </c>
      <c r="O95" s="90"/>
    </row>
    <row r="96" spans="9:15" x14ac:dyDescent="0.25">
      <c r="I96" s="85"/>
      <c r="K96" t="s">
        <v>158</v>
      </c>
      <c r="L96" t="str">
        <v>Anode-m</v>
      </c>
      <c r="N96" s="62" t="s">
        <v>139</v>
      </c>
      <c r="O96" s="90"/>
    </row>
    <row r="97" spans="9:15" x14ac:dyDescent="0.25">
      <c r="I97" s="85"/>
      <c r="K97" t="s">
        <v>158</v>
      </c>
      <c r="L97" t="str">
        <v>Unliberated-m</v>
      </c>
      <c r="N97" s="76" t="s">
        <v>170</v>
      </c>
      <c r="O97" s="90"/>
    </row>
    <row r="98" spans="9:15" x14ac:dyDescent="0.25">
      <c r="I98" s="85"/>
      <c r="K98" t="s">
        <v>158</v>
      </c>
      <c r="L98" t="str">
        <v>Pouch-m</v>
      </c>
      <c r="N98" s="69" t="s">
        <v>196</v>
      </c>
      <c r="O98" s="90"/>
    </row>
    <row r="99" spans="9:15" x14ac:dyDescent="0.25">
      <c r="I99" s="85"/>
      <c r="K99" t="s">
        <v>158</v>
      </c>
      <c r="L99" t="str">
        <v>Separator-m</v>
      </c>
      <c r="N99" s="70" t="s">
        <v>141</v>
      </c>
      <c r="O99" s="90"/>
    </row>
    <row r="100" spans="9:15" x14ac:dyDescent="0.25">
      <c r="I100" s="85"/>
      <c r="K100" t="s">
        <v>158</v>
      </c>
      <c r="L100" t="str">
        <v>Cathode-n</v>
      </c>
      <c r="N100" s="29" t="s">
        <v>138</v>
      </c>
      <c r="O100" s="90"/>
    </row>
    <row r="101" spans="9:15" x14ac:dyDescent="0.25">
      <c r="I101" s="85"/>
      <c r="K101" t="s">
        <v>158</v>
      </c>
      <c r="L101" t="str">
        <v>Anode-n</v>
      </c>
      <c r="N101" s="62" t="s">
        <v>139</v>
      </c>
      <c r="O101" s="90"/>
    </row>
    <row r="102" spans="9:15" x14ac:dyDescent="0.25">
      <c r="I102" s="85"/>
      <c r="K102" t="s">
        <v>158</v>
      </c>
      <c r="L102" t="str">
        <v>Unliberated-n</v>
      </c>
      <c r="N102" s="76" t="s">
        <v>170</v>
      </c>
      <c r="O102" s="90"/>
    </row>
    <row r="103" spans="9:15" x14ac:dyDescent="0.25">
      <c r="I103" s="85"/>
      <c r="K103" t="s">
        <v>158</v>
      </c>
      <c r="L103" t="str">
        <v>Pouch-n</v>
      </c>
      <c r="N103" s="69" t="s">
        <v>196</v>
      </c>
      <c r="O103" s="90"/>
    </row>
    <row r="104" spans="9:15" x14ac:dyDescent="0.25">
      <c r="I104" s="85"/>
      <c r="K104" t="s">
        <v>158</v>
      </c>
      <c r="L104" t="str">
        <v>Separator-n</v>
      </c>
      <c r="N104" s="70" t="s">
        <v>141</v>
      </c>
      <c r="O104" s="90"/>
    </row>
    <row r="105" spans="9:15" x14ac:dyDescent="0.25">
      <c r="I105" s="85"/>
      <c r="K105" t="s">
        <v>158</v>
      </c>
      <c r="L105" t="str">
        <v>Cathode-i</v>
      </c>
      <c r="N105" s="29" t="s">
        <v>138</v>
      </c>
      <c r="O105" s="90"/>
    </row>
    <row r="106" spans="9:15" x14ac:dyDescent="0.25">
      <c r="I106" s="85"/>
      <c r="K106" t="s">
        <v>158</v>
      </c>
      <c r="L106" t="str">
        <v>Anode-i</v>
      </c>
      <c r="N106" s="62" t="s">
        <v>139</v>
      </c>
      <c r="O106" s="90"/>
    </row>
    <row r="107" spans="9:15" x14ac:dyDescent="0.25">
      <c r="I107" s="85"/>
      <c r="K107" t="s">
        <v>158</v>
      </c>
      <c r="L107" t="str">
        <v>Unliberated-i</v>
      </c>
      <c r="N107" s="76" t="s">
        <v>170</v>
      </c>
      <c r="O107" s="90"/>
    </row>
    <row r="108" spans="9:15" x14ac:dyDescent="0.25">
      <c r="I108" s="85"/>
      <c r="K108" t="s">
        <v>158</v>
      </c>
      <c r="L108" t="str">
        <v>Pouch-i</v>
      </c>
      <c r="N108" s="69" t="s">
        <v>196</v>
      </c>
      <c r="O108" s="90"/>
    </row>
    <row r="109" spans="9:15" x14ac:dyDescent="0.25">
      <c r="I109" s="85"/>
      <c r="K109" t="s">
        <v>158</v>
      </c>
      <c r="L109" t="str">
        <v>Separator-i</v>
      </c>
      <c r="N109" s="70" t="s">
        <v>141</v>
      </c>
      <c r="O109" s="90"/>
    </row>
    <row r="110" spans="9:15" x14ac:dyDescent="0.25">
      <c r="I110" s="85"/>
      <c r="K110" t="s">
        <v>158</v>
      </c>
      <c r="L110" t="str">
        <v>Cathode-final</v>
      </c>
      <c r="N110" s="29" t="s">
        <v>138</v>
      </c>
      <c r="O110" s="90"/>
    </row>
    <row r="111" spans="9:15" x14ac:dyDescent="0.25">
      <c r="I111" s="85"/>
      <c r="K111" t="s">
        <v>158</v>
      </c>
      <c r="L111" t="str">
        <v>Anode-final</v>
      </c>
      <c r="N111" s="62" t="s">
        <v>139</v>
      </c>
      <c r="O111" s="90"/>
    </row>
    <row r="112" spans="9:15" x14ac:dyDescent="0.25">
      <c r="I112" s="85"/>
      <c r="K112" t="s">
        <v>158</v>
      </c>
      <c r="L112" t="str">
        <v>Pouch-final</v>
      </c>
      <c r="N112" s="69" t="s">
        <v>196</v>
      </c>
      <c r="O112" s="90"/>
    </row>
    <row r="113" spans="9:15" ht="15.75" thickBot="1" x14ac:dyDescent="0.3">
      <c r="I113" s="91"/>
      <c r="J113" s="92"/>
      <c r="K113" s="92" t="s">
        <v>158</v>
      </c>
      <c r="L113" s="92" t="str">
        <v>Separator-final</v>
      </c>
      <c r="M113" s="92"/>
      <c r="N113" s="93" t="s">
        <v>141</v>
      </c>
      <c r="O113" s="9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B6EC-9A0A-4BD6-BD1B-1B5B0385E542}">
  <sheetPr codeName="Sheet11"/>
  <dimension ref="A1:Y27"/>
  <sheetViews>
    <sheetView workbookViewId="0"/>
  </sheetViews>
  <sheetFormatPr defaultRowHeight="15" x14ac:dyDescent="0.25"/>
  <cols>
    <col min="1" max="1" width="14.140625" style="2" bestFit="1" customWidth="1"/>
    <col min="5" max="5" width="8.85546875" style="2"/>
    <col min="9" max="9" width="8.85546875" style="2"/>
    <col min="13" max="13" width="8.85546875" style="2"/>
    <col min="17" max="17" width="8.85546875" style="2"/>
    <col min="21" max="21" width="8.85546875" style="2"/>
    <col min="25" max="25" width="8.85546875" style="2"/>
  </cols>
  <sheetData>
    <row r="1" spans="1:25" x14ac:dyDescent="0.25">
      <c r="B1" s="98" t="s">
        <v>0</v>
      </c>
      <c r="C1" s="98"/>
      <c r="D1" s="98"/>
      <c r="E1" s="98"/>
      <c r="F1" s="98" t="s">
        <v>1</v>
      </c>
      <c r="G1" s="98"/>
      <c r="H1" s="98"/>
      <c r="I1" s="98"/>
      <c r="J1" s="98" t="s">
        <v>2</v>
      </c>
      <c r="K1" s="98"/>
      <c r="L1" s="98"/>
      <c r="M1" s="98"/>
      <c r="N1" s="98" t="s">
        <v>3</v>
      </c>
      <c r="O1" s="98"/>
      <c r="P1" s="98"/>
      <c r="Q1" s="98"/>
      <c r="R1" s="98" t="s">
        <v>4</v>
      </c>
      <c r="S1" s="98"/>
      <c r="T1" s="98"/>
      <c r="U1" s="98"/>
      <c r="V1" s="98" t="s">
        <v>5</v>
      </c>
      <c r="W1" s="98"/>
      <c r="X1" s="98"/>
      <c r="Y1" s="98"/>
    </row>
    <row r="2" spans="1:25" s="5" customFormat="1" x14ac:dyDescent="0.25">
      <c r="A2" s="4"/>
      <c r="B2" s="5" t="s">
        <v>6</v>
      </c>
      <c r="C2" s="5" t="s">
        <v>7</v>
      </c>
      <c r="D2" s="5" t="s">
        <v>8</v>
      </c>
      <c r="E2" s="4" t="s">
        <v>9</v>
      </c>
      <c r="F2" s="5" t="s">
        <v>6</v>
      </c>
      <c r="G2" s="5" t="s">
        <v>7</v>
      </c>
      <c r="H2" s="5" t="s">
        <v>8</v>
      </c>
      <c r="I2" s="4" t="s">
        <v>9</v>
      </c>
      <c r="J2" s="5" t="s">
        <v>6</v>
      </c>
      <c r="K2" s="5" t="s">
        <v>7</v>
      </c>
      <c r="L2" s="5" t="s">
        <v>8</v>
      </c>
      <c r="M2" s="4" t="s">
        <v>9</v>
      </c>
      <c r="N2" s="5" t="s">
        <v>6</v>
      </c>
      <c r="O2" s="5" t="s">
        <v>7</v>
      </c>
      <c r="P2" s="5" t="s">
        <v>8</v>
      </c>
      <c r="Q2" s="4" t="s">
        <v>9</v>
      </c>
      <c r="R2" s="5" t="s">
        <v>6</v>
      </c>
      <c r="S2" s="5" t="s">
        <v>7</v>
      </c>
      <c r="T2" s="5" t="s">
        <v>8</v>
      </c>
      <c r="U2" s="4" t="s">
        <v>9</v>
      </c>
      <c r="V2" s="5" t="s">
        <v>6</v>
      </c>
      <c r="W2" s="5" t="s">
        <v>7</v>
      </c>
      <c r="X2" s="5" t="s">
        <v>8</v>
      </c>
      <c r="Y2" s="4" t="s">
        <v>9</v>
      </c>
    </row>
    <row r="3" spans="1:25" x14ac:dyDescent="0.25">
      <c r="A3" s="2" t="s">
        <v>12</v>
      </c>
      <c r="Q3"/>
      <c r="R3" s="58"/>
      <c r="S3" s="1"/>
      <c r="T3" s="1"/>
      <c r="U3" s="3"/>
    </row>
    <row r="4" spans="1:25" x14ac:dyDescent="0.25">
      <c r="A4" s="2" t="s">
        <v>8</v>
      </c>
      <c r="B4">
        <v>2.98E-2</v>
      </c>
      <c r="C4">
        <v>8.4199999999999997E-2</v>
      </c>
      <c r="D4">
        <v>2.4400000000000002E-2</v>
      </c>
      <c r="E4" s="2">
        <v>1.2500000000000001E-2</v>
      </c>
      <c r="F4">
        <v>2.64E-2</v>
      </c>
      <c r="G4">
        <v>7.51E-2</v>
      </c>
      <c r="H4">
        <v>5.57E-2</v>
      </c>
      <c r="I4" s="2">
        <v>1.5299999999999999E-2</v>
      </c>
      <c r="J4">
        <v>2.3900000000000001E-2</v>
      </c>
      <c r="K4">
        <v>5.3100000000000001E-2</v>
      </c>
      <c r="L4">
        <v>5.7000000000000002E-3</v>
      </c>
      <c r="M4" s="2">
        <v>1.8700000000000001E-2</v>
      </c>
      <c r="N4">
        <v>2.0400000000000001E-2</v>
      </c>
      <c r="O4">
        <v>5.57E-2</v>
      </c>
      <c r="P4">
        <v>3.95E-2</v>
      </c>
      <c r="Q4">
        <v>3.5499999999999997E-2</v>
      </c>
      <c r="R4" s="59">
        <v>0</v>
      </c>
      <c r="S4">
        <v>0</v>
      </c>
      <c r="T4">
        <v>3.1899999999999998E-2</v>
      </c>
      <c r="U4" s="2">
        <f>0.0219+0.0004</f>
        <v>2.23E-2</v>
      </c>
      <c r="V4">
        <v>0</v>
      </c>
      <c r="W4">
        <v>0</v>
      </c>
      <c r="X4">
        <v>0</v>
      </c>
      <c r="Y4" s="2">
        <v>0.1767</v>
      </c>
    </row>
    <row r="5" spans="1:25" x14ac:dyDescent="0.25">
      <c r="A5" s="2" t="s">
        <v>6</v>
      </c>
      <c r="B5">
        <v>2.8799999999999999E-2</v>
      </c>
      <c r="C5">
        <v>8.8999999999999996E-2</v>
      </c>
      <c r="D5">
        <v>0.1114</v>
      </c>
      <c r="E5" s="2">
        <v>0.22500000000000001</v>
      </c>
      <c r="F5">
        <v>2.7300000000000001E-2</v>
      </c>
      <c r="G5">
        <v>5.3800000000000001E-2</v>
      </c>
      <c r="H5">
        <v>5.0900000000000001E-2</v>
      </c>
      <c r="I5" s="2">
        <v>5.3600000000000002E-2</v>
      </c>
      <c r="J5">
        <v>5.6000000000000001E-2</v>
      </c>
      <c r="K5">
        <v>6.2300000000000001E-2</v>
      </c>
      <c r="L5">
        <v>1.84E-2</v>
      </c>
      <c r="M5" s="2">
        <v>4.3299999999999998E-2</v>
      </c>
      <c r="N5">
        <v>3.9199999999999999E-2</v>
      </c>
      <c r="O5">
        <v>2.24E-2</v>
      </c>
      <c r="P5">
        <v>5.0799999999999998E-2</v>
      </c>
      <c r="Q5">
        <v>0.1056</v>
      </c>
      <c r="R5" s="59">
        <v>0</v>
      </c>
      <c r="S5">
        <v>0.02</v>
      </c>
      <c r="T5">
        <v>0</v>
      </c>
      <c r="U5" s="2">
        <v>3.7400000000000003E-2</v>
      </c>
      <c r="V5">
        <v>3.0499999999999999E-2</v>
      </c>
      <c r="W5">
        <v>4.4600000000000001E-2</v>
      </c>
      <c r="X5">
        <v>0</v>
      </c>
      <c r="Y5" s="2">
        <v>0.17419999999999999</v>
      </c>
    </row>
    <row r="6" spans="1:25" x14ac:dyDescent="0.25">
      <c r="A6" s="2" t="s">
        <v>14</v>
      </c>
      <c r="B6">
        <v>2.5399999999999999E-2</v>
      </c>
      <c r="C6">
        <v>1.8499999999999999E-2</v>
      </c>
      <c r="D6">
        <v>1.9E-2</v>
      </c>
      <c r="E6" s="2">
        <v>1.77E-2</v>
      </c>
      <c r="F6">
        <v>2.06E-2</v>
      </c>
      <c r="G6">
        <v>4.3499999999999997E-2</v>
      </c>
      <c r="H6">
        <v>2.5100000000000001E-2</v>
      </c>
      <c r="I6" s="2">
        <v>1.7500000000000002E-2</v>
      </c>
      <c r="J6">
        <v>0.02</v>
      </c>
      <c r="K6">
        <v>1.95E-2</v>
      </c>
      <c r="L6">
        <v>4.0800000000000003E-2</v>
      </c>
      <c r="M6" s="2">
        <v>4.4299999999999999E-2</v>
      </c>
      <c r="N6">
        <v>2.4299999999999999E-2</v>
      </c>
      <c r="O6">
        <v>0</v>
      </c>
      <c r="P6">
        <v>1.09E-2</v>
      </c>
      <c r="Q6">
        <v>2.1600000000000001E-2</v>
      </c>
      <c r="R6" s="59">
        <v>0</v>
      </c>
      <c r="S6">
        <v>5.7000000000000002E-3</v>
      </c>
      <c r="T6">
        <v>4.53E-2</v>
      </c>
      <c r="U6" s="2">
        <f>0.3388+0.0114</f>
        <v>0.35020000000000001</v>
      </c>
      <c r="V6">
        <v>0.1065</v>
      </c>
      <c r="W6">
        <v>7.1099999999999997E-2</v>
      </c>
      <c r="X6">
        <v>0.18640000000000001</v>
      </c>
      <c r="Y6" s="2">
        <v>9.4399999999999998E-2</v>
      </c>
    </row>
    <row r="7" spans="1:25" x14ac:dyDescent="0.25">
      <c r="A7" s="2" t="s">
        <v>15</v>
      </c>
      <c r="B7">
        <f>0.0502+0.0016</f>
        <v>5.1799999999999999E-2</v>
      </c>
      <c r="C7">
        <v>7.4999999999999997E-2</v>
      </c>
      <c r="D7">
        <v>8.4400000000000003E-2</v>
      </c>
      <c r="E7" s="2">
        <v>7.6700000000000004E-2</v>
      </c>
      <c r="F7">
        <v>0.10199999999999999</v>
      </c>
      <c r="G7">
        <v>0.10390000000000001</v>
      </c>
      <c r="H7">
        <v>7.9500000000000001E-2</v>
      </c>
      <c r="I7" s="2">
        <v>7.9500000000000001E-2</v>
      </c>
      <c r="J7">
        <f>0.0684+0.0014</f>
        <v>6.9800000000000001E-2</v>
      </c>
      <c r="K7">
        <v>6.6900000000000001E-2</v>
      </c>
      <c r="L7">
        <v>0.1081</v>
      </c>
      <c r="M7" s="2">
        <v>8.4400000000000003E-2</v>
      </c>
      <c r="N7">
        <v>9.1300000000000006E-2</v>
      </c>
      <c r="O7">
        <v>1.21E-2</v>
      </c>
      <c r="P7">
        <v>3.7900000000000003E-2</v>
      </c>
      <c r="Q7">
        <v>0.13569999999999999</v>
      </c>
      <c r="R7" s="59">
        <v>0</v>
      </c>
      <c r="S7">
        <v>2.6599999999999999E-2</v>
      </c>
      <c r="T7">
        <v>1.9599999999999999E-2</v>
      </c>
      <c r="U7" s="2">
        <v>2.2200000000000001E-2</v>
      </c>
      <c r="V7">
        <v>0.19489999999999999</v>
      </c>
      <c r="W7">
        <v>5.1999999999999998E-2</v>
      </c>
      <c r="X7">
        <v>1.9400000000000001E-2</v>
      </c>
      <c r="Y7" s="2">
        <v>4.1200000000000001E-2</v>
      </c>
    </row>
    <row r="8" spans="1:25" x14ac:dyDescent="0.25">
      <c r="A8" s="2" t="s">
        <v>16</v>
      </c>
      <c r="B8">
        <v>0.47739999999999999</v>
      </c>
      <c r="C8">
        <v>0.43530000000000002</v>
      </c>
      <c r="D8">
        <v>0.47949999999999998</v>
      </c>
      <c r="E8" s="2">
        <v>0.43209999999999998</v>
      </c>
      <c r="F8">
        <v>0.64090000000000003</v>
      </c>
      <c r="G8">
        <v>0.65720000000000001</v>
      </c>
      <c r="H8">
        <v>0.68310000000000004</v>
      </c>
      <c r="I8" s="2">
        <v>0.5776</v>
      </c>
      <c r="J8">
        <v>0.55279999999999996</v>
      </c>
      <c r="K8">
        <v>0.54</v>
      </c>
      <c r="L8">
        <v>0.59760000000000002</v>
      </c>
      <c r="M8" s="2">
        <v>0.51259999999999994</v>
      </c>
      <c r="N8">
        <v>0.33300000000000002</v>
      </c>
      <c r="O8">
        <v>0.2676</v>
      </c>
      <c r="P8">
        <v>0.40129999999999999</v>
      </c>
      <c r="Q8">
        <v>0.60829999999999995</v>
      </c>
      <c r="R8" s="59">
        <v>0.32390000000000002</v>
      </c>
      <c r="S8">
        <v>0.42699999999999999</v>
      </c>
      <c r="T8">
        <v>0.42849999999999999</v>
      </c>
      <c r="U8" s="2">
        <v>0.41339999999999999</v>
      </c>
      <c r="V8">
        <v>0.43430000000000002</v>
      </c>
      <c r="W8">
        <v>0.2742</v>
      </c>
      <c r="X8">
        <v>0.38979999999999998</v>
      </c>
      <c r="Y8" s="2">
        <v>0.42420000000000002</v>
      </c>
    </row>
    <row r="9" spans="1:25" x14ac:dyDescent="0.25">
      <c r="Q9"/>
      <c r="R9" s="60"/>
      <c r="S9" s="5"/>
      <c r="T9" s="5"/>
      <c r="U9" s="4"/>
    </row>
    <row r="10" spans="1:25" s="1" customFormat="1" x14ac:dyDescent="0.25">
      <c r="A10" s="3" t="s">
        <v>17</v>
      </c>
      <c r="B10" s="58"/>
      <c r="E10" s="3"/>
      <c r="J10" s="58"/>
      <c r="M10" s="3"/>
      <c r="Q10" s="3"/>
      <c r="U10" s="3"/>
      <c r="Y10" s="3"/>
    </row>
    <row r="11" spans="1:25" x14ac:dyDescent="0.25">
      <c r="A11" s="2" t="s">
        <v>8</v>
      </c>
      <c r="B11" s="59">
        <v>9.8983000000000008</v>
      </c>
      <c r="C11">
        <v>10.189299999999999</v>
      </c>
      <c r="D11">
        <v>10.863200000000001</v>
      </c>
      <c r="E11" s="2">
        <v>10.4322</v>
      </c>
      <c r="F11">
        <v>9.5571000000000002</v>
      </c>
      <c r="G11">
        <v>9.9933999999999994</v>
      </c>
      <c r="H11">
        <v>9.3439999999999994</v>
      </c>
      <c r="I11">
        <v>9.6308000000000007</v>
      </c>
      <c r="J11" s="59">
        <v>8.9832999999999998</v>
      </c>
      <c r="K11">
        <v>8.4809999999999999</v>
      </c>
      <c r="L11">
        <v>7.5107999999999997</v>
      </c>
      <c r="M11" s="2">
        <v>9.3312000000000008</v>
      </c>
      <c r="N11">
        <v>5.5312000000000001</v>
      </c>
      <c r="O11">
        <v>4.8586</v>
      </c>
      <c r="P11">
        <v>9.2911000000000001</v>
      </c>
      <c r="Q11" s="2">
        <v>8.5632000000000001</v>
      </c>
      <c r="R11">
        <f>5.0915+0.0389</f>
        <v>5.1303999999999998</v>
      </c>
      <c r="S11">
        <v>5.3970000000000002</v>
      </c>
      <c r="T11">
        <v>5.5971000000000002</v>
      </c>
      <c r="U11" s="2">
        <v>6.5178000000000003</v>
      </c>
      <c r="V11">
        <v>4.2545000000000002</v>
      </c>
      <c r="W11">
        <v>3.4222999999999999</v>
      </c>
      <c r="X11">
        <v>3.3624999999999998</v>
      </c>
      <c r="Y11" s="2">
        <v>4.9950000000000001</v>
      </c>
    </row>
    <row r="12" spans="1:25" x14ac:dyDescent="0.25">
      <c r="A12" s="2" t="s">
        <v>6</v>
      </c>
      <c r="B12" s="59">
        <f>0.1464+0.0733</f>
        <v>0.21970000000000001</v>
      </c>
      <c r="C12">
        <f>0.038+0.1364</f>
        <v>0.1744</v>
      </c>
      <c r="D12">
        <f>0.1489+0.0535</f>
        <v>0.2024</v>
      </c>
      <c r="E12" s="2">
        <v>0.12089999999999999</v>
      </c>
      <c r="F12">
        <f>0.1732+0.0274</f>
        <v>0.2006</v>
      </c>
      <c r="G12">
        <f>0.2555+0.0472</f>
        <v>0.30270000000000002</v>
      </c>
      <c r="H12">
        <f>0.11+0.0357</f>
        <v>0.1457</v>
      </c>
      <c r="I12">
        <f>0.1705+0.0415</f>
        <v>0.21200000000000002</v>
      </c>
      <c r="J12" s="59">
        <v>0.17100000000000001</v>
      </c>
      <c r="K12">
        <f>0.1001+0.0042</f>
        <v>0.10429999999999999</v>
      </c>
      <c r="L12">
        <v>0.1411</v>
      </c>
      <c r="M12" s="2">
        <v>0.13370000000000001</v>
      </c>
      <c r="N12">
        <v>0.15640000000000001</v>
      </c>
      <c r="O12">
        <v>0.1191</v>
      </c>
      <c r="P12">
        <v>0.40550000000000003</v>
      </c>
      <c r="Q12" s="2">
        <v>0.20069999999999999</v>
      </c>
      <c r="R12">
        <v>4.1300000000000003E-2</v>
      </c>
      <c r="S12">
        <v>0</v>
      </c>
      <c r="T12">
        <v>2.1000000000000001E-2</v>
      </c>
      <c r="U12" s="2">
        <v>3.3399999999999999E-2</v>
      </c>
      <c r="V12">
        <v>4.8300000000000003E-2</v>
      </c>
      <c r="W12">
        <v>3.6200000000000003E-2</v>
      </c>
      <c r="Y12" s="2">
        <v>1.52E-2</v>
      </c>
    </row>
    <row r="13" spans="1:25" x14ac:dyDescent="0.25">
      <c r="A13" s="2" t="s">
        <v>14</v>
      </c>
      <c r="B13" s="59">
        <v>4.7899999999999998E-2</v>
      </c>
      <c r="C13">
        <v>4.48E-2</v>
      </c>
      <c r="D13">
        <v>5.2999999999999999E-2</v>
      </c>
      <c r="E13" s="2">
        <v>2.0400000000000001E-2</v>
      </c>
      <c r="F13">
        <v>8.5099999999999995E-2</v>
      </c>
      <c r="G13">
        <v>7.6899999999999996E-2</v>
      </c>
      <c r="H13">
        <v>0.1032</v>
      </c>
      <c r="I13">
        <v>8.7999999999999995E-2</v>
      </c>
      <c r="J13" s="59">
        <v>0.13689999999999999</v>
      </c>
      <c r="K13">
        <v>8.2000000000000003E-2</v>
      </c>
      <c r="L13">
        <v>0.19900000000000001</v>
      </c>
      <c r="M13" s="2">
        <v>0.26350000000000001</v>
      </c>
      <c r="N13">
        <v>0.2424</v>
      </c>
      <c r="O13">
        <v>0.36840000000000001</v>
      </c>
      <c r="P13">
        <v>0.23519999999999999</v>
      </c>
      <c r="Q13" s="2">
        <v>0.20810000000000001</v>
      </c>
      <c r="R13">
        <v>7.3200000000000001E-2</v>
      </c>
      <c r="S13">
        <v>0.60040000000000004</v>
      </c>
      <c r="T13">
        <v>0.63019999999999998</v>
      </c>
      <c r="U13" s="2">
        <v>0.42909999999999998</v>
      </c>
      <c r="V13">
        <v>0.1138</v>
      </c>
      <c r="W13">
        <v>0.96550000000000002</v>
      </c>
      <c r="X13">
        <v>0.62519999999999998</v>
      </c>
      <c r="Y13" s="2">
        <v>1.2076</v>
      </c>
    </row>
    <row r="14" spans="1:25" x14ac:dyDescent="0.25">
      <c r="A14" s="2" t="s">
        <v>15</v>
      </c>
      <c r="B14" s="59">
        <v>4.0000000000000001E-3</v>
      </c>
      <c r="C14">
        <v>0.1</v>
      </c>
      <c r="D14">
        <v>5.1000000000000004E-3</v>
      </c>
      <c r="E14" s="2">
        <v>7.4999999999999997E-3</v>
      </c>
      <c r="F14">
        <v>6.5699999999999995E-2</v>
      </c>
      <c r="G14">
        <v>6.7999999999999996E-3</v>
      </c>
      <c r="H14">
        <v>6.1999999999999998E-3</v>
      </c>
      <c r="I14">
        <v>5.4100000000000002E-2</v>
      </c>
      <c r="J14" s="59">
        <v>4.0899999999999999E-2</v>
      </c>
      <c r="K14">
        <v>2.1600000000000001E-2</v>
      </c>
      <c r="L14">
        <v>3.04E-2</v>
      </c>
      <c r="M14" s="2">
        <v>1.7899999999999999E-2</v>
      </c>
      <c r="N14">
        <v>2.12E-2</v>
      </c>
      <c r="O14">
        <v>1.34E-2</v>
      </c>
      <c r="P14">
        <v>3.09E-2</v>
      </c>
      <c r="Q14" s="2">
        <v>3.4700000000000002E-2</v>
      </c>
      <c r="R14">
        <v>0</v>
      </c>
      <c r="S14">
        <v>3.9600000000000003E-2</v>
      </c>
      <c r="T14">
        <v>0</v>
      </c>
      <c r="U14" s="2">
        <v>0</v>
      </c>
      <c r="V14">
        <v>2.5899999999999999E-2</v>
      </c>
      <c r="W14">
        <v>0</v>
      </c>
      <c r="X14">
        <v>0.32969999999999999</v>
      </c>
      <c r="Y14" s="2">
        <v>0</v>
      </c>
    </row>
    <row r="15" spans="1:25" x14ac:dyDescent="0.25">
      <c r="A15" s="2" t="s">
        <v>16</v>
      </c>
      <c r="B15" s="59">
        <v>1.7100000000000001E-2</v>
      </c>
      <c r="C15">
        <v>8.8900000000000007E-2</v>
      </c>
      <c r="D15">
        <v>1.9099999999999999E-2</v>
      </c>
      <c r="E15" s="2">
        <v>1.49E-2</v>
      </c>
      <c r="F15">
        <v>1.4E-3</v>
      </c>
      <c r="G15">
        <v>5.1000000000000004E-3</v>
      </c>
      <c r="H15">
        <v>7.9000000000000008E-3</v>
      </c>
      <c r="I15">
        <v>2.0299999999999999E-2</v>
      </c>
      <c r="J15" s="59">
        <v>1.0999999999999999E-2</v>
      </c>
      <c r="K15">
        <v>1.09E-2</v>
      </c>
      <c r="L15">
        <v>3.2000000000000002E-3</v>
      </c>
      <c r="M15" s="2">
        <v>1.0200000000000001E-2</v>
      </c>
      <c r="N15">
        <v>6.1999999999999998E-3</v>
      </c>
      <c r="O15">
        <v>6.6000000000000003E-2</v>
      </c>
      <c r="P15">
        <v>1.5800000000000002E-2</v>
      </c>
      <c r="Q15" s="2">
        <v>0</v>
      </c>
      <c r="R15">
        <v>6.7999999999999996E-3</v>
      </c>
      <c r="S15">
        <v>1.6999999999999999E-3</v>
      </c>
      <c r="T15">
        <v>0</v>
      </c>
      <c r="U15" s="2">
        <v>1.2200000000000001E-2</v>
      </c>
      <c r="V15">
        <v>0</v>
      </c>
      <c r="W15">
        <v>0</v>
      </c>
      <c r="Y15" s="2">
        <v>0</v>
      </c>
    </row>
    <row r="16" spans="1:25" x14ac:dyDescent="0.25">
      <c r="B16" s="60"/>
      <c r="C16" s="5"/>
      <c r="D16" s="5"/>
      <c r="E16" s="4"/>
      <c r="I16"/>
      <c r="J16" s="59"/>
    </row>
    <row r="17" spans="1:25" s="1" customFormat="1" x14ac:dyDescent="0.25">
      <c r="A17" s="3" t="s">
        <v>18</v>
      </c>
      <c r="E17" s="3"/>
      <c r="J17" s="58"/>
      <c r="M17" s="3"/>
      <c r="Q17" s="3"/>
      <c r="U17" s="3"/>
      <c r="Y17" s="3"/>
    </row>
    <row r="18" spans="1:25" x14ac:dyDescent="0.25">
      <c r="A18" s="2" t="s">
        <v>8</v>
      </c>
      <c r="B18">
        <v>3.5999999999999999E-3</v>
      </c>
      <c r="C18">
        <v>6.4999999999999997E-3</v>
      </c>
      <c r="D18">
        <v>1.6799999999999999E-2</v>
      </c>
      <c r="E18" s="2">
        <v>5.7999999999999996E-3</v>
      </c>
      <c r="F18">
        <v>3.5000000000000001E-3</v>
      </c>
      <c r="G18">
        <v>1.2699999999999999E-2</v>
      </c>
      <c r="H18">
        <v>4.4000000000000003E-3</v>
      </c>
      <c r="I18">
        <v>1.2E-2</v>
      </c>
      <c r="J18" s="59">
        <v>4.0000000000000001E-3</v>
      </c>
      <c r="K18">
        <v>2.7799999999999998E-2</v>
      </c>
      <c r="L18">
        <v>1.9199999999999998E-2</v>
      </c>
      <c r="M18" s="2">
        <v>3.73E-2</v>
      </c>
      <c r="N18">
        <v>2.3300000000000001E-2</v>
      </c>
      <c r="O18">
        <v>0.10290000000000001</v>
      </c>
      <c r="P18">
        <v>0.2472</v>
      </c>
      <c r="Q18" s="2">
        <v>0.1017</v>
      </c>
      <c r="R18">
        <v>0.58750000000000002</v>
      </c>
      <c r="S18">
        <v>0.40760000000000002</v>
      </c>
      <c r="T18">
        <v>0.34649999999999997</v>
      </c>
      <c r="U18" s="2">
        <v>0.2797</v>
      </c>
      <c r="V18">
        <v>0.45839999999999997</v>
      </c>
      <c r="W18">
        <v>0.40079999999999999</v>
      </c>
      <c r="X18">
        <v>0.46389999999999998</v>
      </c>
      <c r="Y18" s="2">
        <v>0.46450000000000002</v>
      </c>
    </row>
    <row r="19" spans="1:25" x14ac:dyDescent="0.25">
      <c r="A19" s="2" t="s">
        <v>6</v>
      </c>
      <c r="B19">
        <v>3.2866</v>
      </c>
      <c r="C19">
        <v>3.1278000000000001</v>
      </c>
      <c r="D19">
        <v>3.4689000000000001</v>
      </c>
      <c r="E19" s="2">
        <v>3.4270999999999998</v>
      </c>
      <c r="F19">
        <v>4.0446</v>
      </c>
      <c r="G19">
        <v>3.8248000000000002</v>
      </c>
      <c r="H19">
        <v>3.9039999999999999</v>
      </c>
      <c r="I19">
        <v>3.8748999999999998</v>
      </c>
      <c r="J19" s="59">
        <v>4.5609999999999999</v>
      </c>
      <c r="K19">
        <v>3.6448999999999998</v>
      </c>
      <c r="L19">
        <v>3.4018000000000002</v>
      </c>
      <c r="M19" s="2">
        <v>4.3074000000000003</v>
      </c>
      <c r="N19">
        <v>2.6806999999999999</v>
      </c>
      <c r="O19">
        <v>2.6297000000000001</v>
      </c>
      <c r="P19">
        <v>4.1852</v>
      </c>
      <c r="Q19" s="2">
        <v>4.0869</v>
      </c>
      <c r="R19">
        <v>3.7416</v>
      </c>
      <c r="S19">
        <v>3.3565</v>
      </c>
      <c r="T19">
        <v>4.1729000000000003</v>
      </c>
      <c r="U19" s="2">
        <v>4.7172999999999998</v>
      </c>
      <c r="V19">
        <v>3.7431999999999999</v>
      </c>
      <c r="W19">
        <v>3.3090000000000002</v>
      </c>
      <c r="X19">
        <v>2.9371</v>
      </c>
      <c r="Y19" s="2">
        <v>3.5055000000000001</v>
      </c>
    </row>
    <row r="20" spans="1:25" x14ac:dyDescent="0.25">
      <c r="A20" s="2" t="s">
        <v>14</v>
      </c>
      <c r="B20">
        <v>1.46E-2</v>
      </c>
      <c r="C20">
        <v>1.54E-2</v>
      </c>
      <c r="D20">
        <v>1.4999999999999999E-2</v>
      </c>
      <c r="E20" s="2">
        <v>1.4800000000000001E-2</v>
      </c>
      <c r="F20">
        <v>3.9199999999999999E-2</v>
      </c>
      <c r="G20">
        <v>4.1300000000000003E-2</v>
      </c>
      <c r="H20">
        <v>5.7799999999999997E-2</v>
      </c>
      <c r="I20">
        <v>5.0700000000000002E-2</v>
      </c>
      <c r="J20" s="59">
        <v>0.1196</v>
      </c>
      <c r="K20">
        <v>0.1343</v>
      </c>
      <c r="L20">
        <f>0.0829+0.0044</f>
        <v>8.7300000000000003E-2</v>
      </c>
      <c r="M20" s="2">
        <v>0.10680000000000001</v>
      </c>
      <c r="N20">
        <v>0.27639999999999998</v>
      </c>
      <c r="O20">
        <v>0.12870000000000001</v>
      </c>
      <c r="P20">
        <v>0.21840000000000001</v>
      </c>
      <c r="Q20" s="2">
        <v>0.21840000000000001</v>
      </c>
      <c r="R20">
        <v>0.29949999999999999</v>
      </c>
      <c r="S20">
        <v>0.47520000000000001</v>
      </c>
      <c r="T20">
        <v>0.71430000000000005</v>
      </c>
      <c r="U20" s="2">
        <f>0.8044+0.184</f>
        <v>0.98839999999999995</v>
      </c>
      <c r="V20">
        <v>1.5831</v>
      </c>
      <c r="W20">
        <v>1.9253</v>
      </c>
      <c r="X20">
        <v>1.0585</v>
      </c>
      <c r="Y20" s="2">
        <v>1.5833999999999999</v>
      </c>
    </row>
    <row r="21" spans="1:25" x14ac:dyDescent="0.25">
      <c r="A21" s="2" t="s">
        <v>15</v>
      </c>
      <c r="B21">
        <v>6.13E-2</v>
      </c>
      <c r="C21">
        <v>5.2299999999999999E-2</v>
      </c>
      <c r="D21">
        <v>4.2099999999999999E-2</v>
      </c>
      <c r="E21" s="2">
        <v>4.0899999999999999E-2</v>
      </c>
      <c r="F21">
        <v>8.3099999999999993E-2</v>
      </c>
      <c r="G21">
        <v>0.1013</v>
      </c>
      <c r="H21">
        <v>7.0800000000000002E-2</v>
      </c>
      <c r="I21">
        <v>0.1341</v>
      </c>
      <c r="J21" s="59">
        <v>0.23100000000000001</v>
      </c>
      <c r="K21">
        <v>0.15049999999999999</v>
      </c>
      <c r="L21">
        <v>0.16370000000000001</v>
      </c>
      <c r="M21" s="2">
        <v>0.12809999999999999</v>
      </c>
      <c r="N21">
        <v>0.1489</v>
      </c>
      <c r="O21">
        <v>0.2006</v>
      </c>
      <c r="P21">
        <v>0.20619999999999999</v>
      </c>
      <c r="Q21" s="2">
        <v>0.22509999999999999</v>
      </c>
      <c r="R21">
        <v>0.4088</v>
      </c>
      <c r="S21">
        <v>0.40839999999999999</v>
      </c>
      <c r="T21">
        <v>0.46429999999999999</v>
      </c>
      <c r="U21" s="2">
        <v>0.51580000000000004</v>
      </c>
      <c r="V21">
        <v>1.4497</v>
      </c>
      <c r="W21">
        <v>1.1775</v>
      </c>
      <c r="X21">
        <v>0.75629999999999997</v>
      </c>
      <c r="Y21" s="2">
        <v>1.2753000000000001</v>
      </c>
    </row>
    <row r="22" spans="1:25" x14ac:dyDescent="0.25">
      <c r="A22" s="2" t="s">
        <v>16</v>
      </c>
      <c r="B22">
        <v>1.8499999999999999E-2</v>
      </c>
      <c r="C22">
        <v>2.2100000000000002E-2</v>
      </c>
      <c r="D22">
        <v>1.49E-2</v>
      </c>
      <c r="E22" s="2">
        <v>1.7399999999999999E-2</v>
      </c>
      <c r="F22">
        <v>3.3E-3</v>
      </c>
      <c r="G22">
        <v>1.1599999999999999E-2</v>
      </c>
      <c r="H22">
        <v>8.9999999999999993E-3</v>
      </c>
      <c r="I22">
        <v>1.7999999999999999E-2</v>
      </c>
      <c r="J22" s="59">
        <v>5.9799999999999999E-2</v>
      </c>
      <c r="K22">
        <v>6.0499999999999998E-2</v>
      </c>
      <c r="L22">
        <v>2.5399999999999999E-2</v>
      </c>
      <c r="M22" s="2">
        <v>4.3799999999999999E-2</v>
      </c>
      <c r="N22">
        <v>1.26E-2</v>
      </c>
      <c r="O22">
        <v>8.1699999999999995E-2</v>
      </c>
      <c r="P22">
        <v>0.1051</v>
      </c>
      <c r="Q22" s="2">
        <v>3.0800000000000001E-2</v>
      </c>
      <c r="R22">
        <v>7.5300000000000006E-2</v>
      </c>
      <c r="S22">
        <v>6.1899999999999997E-2</v>
      </c>
      <c r="T22">
        <v>7.2700000000000001E-2</v>
      </c>
      <c r="U22" s="2">
        <v>5.1299999999999998E-2</v>
      </c>
      <c r="V22">
        <v>3.1E-2</v>
      </c>
      <c r="W22">
        <v>2.29E-2</v>
      </c>
      <c r="X22">
        <v>2.1299999999999999E-2</v>
      </c>
      <c r="Y22" s="2">
        <v>3.3999999999999998E-3</v>
      </c>
    </row>
    <row r="23" spans="1:25" x14ac:dyDescent="0.25">
      <c r="I23"/>
      <c r="J23" s="59"/>
    </row>
    <row r="24" spans="1:25" x14ac:dyDescent="0.25">
      <c r="A24" s="2" t="s">
        <v>19</v>
      </c>
      <c r="B24">
        <f>SUM(B25:B27)</f>
        <v>14.184800000000001</v>
      </c>
      <c r="C24">
        <f t="shared" ref="C24:Y24" si="0">SUM(C25:C27)</f>
        <v>14.5235</v>
      </c>
      <c r="D24">
        <f t="shared" si="0"/>
        <v>15.419200000000004</v>
      </c>
      <c r="E24">
        <f t="shared" si="0"/>
        <v>14.865900000000002</v>
      </c>
      <c r="F24">
        <f t="shared" si="0"/>
        <v>14.9008</v>
      </c>
      <c r="G24">
        <f t="shared" si="0"/>
        <v>15.310100000000002</v>
      </c>
      <c r="H24">
        <f t="shared" si="0"/>
        <v>14.547299999999996</v>
      </c>
      <c r="I24">
        <f t="shared" si="0"/>
        <v>14.8384</v>
      </c>
      <c r="J24">
        <f t="shared" si="0"/>
        <v>15.041</v>
      </c>
      <c r="K24">
        <f t="shared" si="0"/>
        <v>13.459599999999998</v>
      </c>
      <c r="L24">
        <f t="shared" si="0"/>
        <v>12.352499999999999</v>
      </c>
      <c r="M24">
        <f t="shared" si="0"/>
        <v>15.0832</v>
      </c>
      <c r="N24">
        <f t="shared" si="0"/>
        <v>9.6074999999999999</v>
      </c>
      <c r="O24">
        <f t="shared" si="0"/>
        <v>8.9268999999999998</v>
      </c>
      <c r="P24">
        <f t="shared" si="0"/>
        <v>15.481000000000002</v>
      </c>
      <c r="Q24">
        <f t="shared" si="0"/>
        <v>14.576300000000002</v>
      </c>
      <c r="R24">
        <f t="shared" si="0"/>
        <v>10.688300000000002</v>
      </c>
      <c r="S24">
        <f t="shared" si="0"/>
        <v>11.227600000000001</v>
      </c>
      <c r="T24">
        <f t="shared" si="0"/>
        <v>12.5443</v>
      </c>
      <c r="U24">
        <f t="shared" si="0"/>
        <v>14.390500000000003</v>
      </c>
      <c r="V24">
        <f t="shared" si="0"/>
        <v>12.4741</v>
      </c>
      <c r="W24">
        <f t="shared" si="0"/>
        <v>11.7014</v>
      </c>
      <c r="X24">
        <f t="shared" si="0"/>
        <v>10.1501</v>
      </c>
      <c r="Y24">
        <f t="shared" si="0"/>
        <v>13.960599999999999</v>
      </c>
    </row>
    <row r="25" spans="1:25" x14ac:dyDescent="0.25">
      <c r="A25" s="2" t="s">
        <v>12</v>
      </c>
      <c r="B25">
        <f>SUM(B4:B8)</f>
        <v>0.61319999999999997</v>
      </c>
      <c r="C25">
        <f t="shared" ref="C25:Y25" si="1">SUM(C4:C8)</f>
        <v>0.70199999999999996</v>
      </c>
      <c r="D25">
        <f t="shared" si="1"/>
        <v>0.71870000000000001</v>
      </c>
      <c r="E25">
        <f t="shared" si="1"/>
        <v>0.76400000000000001</v>
      </c>
      <c r="F25">
        <f t="shared" si="1"/>
        <v>0.81720000000000004</v>
      </c>
      <c r="G25">
        <f t="shared" si="1"/>
        <v>0.9335</v>
      </c>
      <c r="H25">
        <f t="shared" si="1"/>
        <v>0.89430000000000009</v>
      </c>
      <c r="I25">
        <f t="shared" si="1"/>
        <v>0.74350000000000005</v>
      </c>
      <c r="J25">
        <f t="shared" si="1"/>
        <v>0.72249999999999992</v>
      </c>
      <c r="K25">
        <f t="shared" si="1"/>
        <v>0.74180000000000001</v>
      </c>
      <c r="L25">
        <f t="shared" si="1"/>
        <v>0.77059999999999995</v>
      </c>
      <c r="M25">
        <f t="shared" si="1"/>
        <v>0.70329999999999993</v>
      </c>
      <c r="N25">
        <f t="shared" si="1"/>
        <v>0.50819999999999999</v>
      </c>
      <c r="O25">
        <f t="shared" si="1"/>
        <v>0.35780000000000001</v>
      </c>
      <c r="P25">
        <f t="shared" si="1"/>
        <v>0.54039999999999999</v>
      </c>
      <c r="Q25">
        <f t="shared" si="1"/>
        <v>0.90669999999999995</v>
      </c>
      <c r="R25">
        <f t="shared" si="1"/>
        <v>0.32390000000000002</v>
      </c>
      <c r="S25">
        <f t="shared" si="1"/>
        <v>0.4793</v>
      </c>
      <c r="T25">
        <f t="shared" si="1"/>
        <v>0.52529999999999999</v>
      </c>
      <c r="U25">
        <f t="shared" si="1"/>
        <v>0.84550000000000003</v>
      </c>
      <c r="V25">
        <f t="shared" si="1"/>
        <v>0.76619999999999999</v>
      </c>
      <c r="W25">
        <f t="shared" si="1"/>
        <v>0.44189999999999996</v>
      </c>
      <c r="X25">
        <f t="shared" si="1"/>
        <v>0.59560000000000002</v>
      </c>
      <c r="Y25">
        <f t="shared" si="1"/>
        <v>0.91070000000000007</v>
      </c>
    </row>
    <row r="26" spans="1:25" x14ac:dyDescent="0.25">
      <c r="A26" s="2" t="s">
        <v>17</v>
      </c>
      <c r="B26">
        <f>SUM(B11:B15)</f>
        <v>10.186999999999999</v>
      </c>
      <c r="C26">
        <f t="shared" ref="C26:Y26" si="2">SUM(C11:C15)</f>
        <v>10.5974</v>
      </c>
      <c r="D26">
        <f t="shared" si="2"/>
        <v>11.142800000000003</v>
      </c>
      <c r="E26">
        <f t="shared" si="2"/>
        <v>10.595900000000002</v>
      </c>
      <c r="F26">
        <f t="shared" si="2"/>
        <v>9.9099000000000004</v>
      </c>
      <c r="G26">
        <f t="shared" si="2"/>
        <v>10.3849</v>
      </c>
      <c r="H26">
        <f t="shared" si="2"/>
        <v>9.6069999999999975</v>
      </c>
      <c r="I26">
        <f t="shared" si="2"/>
        <v>10.0052</v>
      </c>
      <c r="J26">
        <f t="shared" si="2"/>
        <v>9.3430999999999997</v>
      </c>
      <c r="K26">
        <f t="shared" si="2"/>
        <v>8.6997999999999998</v>
      </c>
      <c r="L26">
        <f t="shared" si="2"/>
        <v>7.8844999999999992</v>
      </c>
      <c r="M26">
        <f t="shared" si="2"/>
        <v>9.7564999999999991</v>
      </c>
      <c r="N26">
        <f t="shared" si="2"/>
        <v>5.9573999999999998</v>
      </c>
      <c r="O26">
        <f t="shared" si="2"/>
        <v>5.4255000000000004</v>
      </c>
      <c r="P26">
        <f t="shared" si="2"/>
        <v>9.9785000000000021</v>
      </c>
      <c r="Q26">
        <f t="shared" si="2"/>
        <v>9.0067000000000004</v>
      </c>
      <c r="R26">
        <f t="shared" si="2"/>
        <v>5.2516999999999996</v>
      </c>
      <c r="S26">
        <f t="shared" si="2"/>
        <v>6.0387000000000004</v>
      </c>
      <c r="T26">
        <f t="shared" si="2"/>
        <v>6.2483000000000004</v>
      </c>
      <c r="U26">
        <f t="shared" si="2"/>
        <v>6.9925000000000006</v>
      </c>
      <c r="V26">
        <f t="shared" si="2"/>
        <v>4.4425000000000008</v>
      </c>
      <c r="W26">
        <f t="shared" si="2"/>
        <v>4.4239999999999995</v>
      </c>
      <c r="X26">
        <f t="shared" si="2"/>
        <v>4.3174000000000001</v>
      </c>
      <c r="Y26">
        <f t="shared" si="2"/>
        <v>6.2178000000000004</v>
      </c>
    </row>
    <row r="27" spans="1:25" x14ac:dyDescent="0.25">
      <c r="A27" s="2" t="s">
        <v>18</v>
      </c>
      <c r="B27">
        <f>SUM(B18:B22)</f>
        <v>3.3846000000000003</v>
      </c>
      <c r="C27">
        <f t="shared" ref="C27:Y27" si="3">SUM(C18:C22)</f>
        <v>3.2241</v>
      </c>
      <c r="D27">
        <f t="shared" si="3"/>
        <v>3.5577000000000001</v>
      </c>
      <c r="E27">
        <f t="shared" si="3"/>
        <v>3.5059999999999998</v>
      </c>
      <c r="F27">
        <f t="shared" si="3"/>
        <v>4.1737000000000002</v>
      </c>
      <c r="G27">
        <f t="shared" si="3"/>
        <v>3.9917000000000007</v>
      </c>
      <c r="H27">
        <f t="shared" si="3"/>
        <v>4.0460000000000003</v>
      </c>
      <c r="I27">
        <f t="shared" si="3"/>
        <v>4.0896999999999997</v>
      </c>
      <c r="J27">
        <f t="shared" si="3"/>
        <v>4.9753999999999996</v>
      </c>
      <c r="K27">
        <f t="shared" si="3"/>
        <v>4.0179999999999998</v>
      </c>
      <c r="L27">
        <f t="shared" si="3"/>
        <v>3.6974</v>
      </c>
      <c r="M27">
        <f t="shared" si="3"/>
        <v>4.6234000000000002</v>
      </c>
      <c r="N27">
        <f t="shared" si="3"/>
        <v>3.1418999999999992</v>
      </c>
      <c r="O27">
        <f t="shared" si="3"/>
        <v>3.1436000000000002</v>
      </c>
      <c r="P27">
        <f t="shared" si="3"/>
        <v>4.9621000000000004</v>
      </c>
      <c r="Q27">
        <f t="shared" si="3"/>
        <v>4.6629000000000005</v>
      </c>
      <c r="R27">
        <f t="shared" si="3"/>
        <v>5.1127000000000011</v>
      </c>
      <c r="S27">
        <f t="shared" si="3"/>
        <v>4.7096</v>
      </c>
      <c r="T27">
        <f t="shared" si="3"/>
        <v>5.7706999999999997</v>
      </c>
      <c r="U27">
        <f t="shared" si="3"/>
        <v>6.5525000000000011</v>
      </c>
      <c r="V27">
        <f t="shared" si="3"/>
        <v>7.2653999999999996</v>
      </c>
      <c r="W27">
        <f t="shared" si="3"/>
        <v>6.8354999999999997</v>
      </c>
      <c r="X27">
        <f t="shared" si="3"/>
        <v>5.2370999999999999</v>
      </c>
      <c r="Y27">
        <f t="shared" si="3"/>
        <v>6.8320999999999996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DBAA-850E-4986-9214-CB391D50729B}">
  <sheetPr codeName="Sheet12"/>
  <dimension ref="A1:Y24"/>
  <sheetViews>
    <sheetView workbookViewId="0"/>
  </sheetViews>
  <sheetFormatPr defaultColWidth="8.85546875" defaultRowHeight="15" x14ac:dyDescent="0.25"/>
  <cols>
    <col min="1" max="1" width="14.140625" style="2" bestFit="1" customWidth="1"/>
    <col min="2" max="2" width="8.85546875" style="16"/>
  </cols>
  <sheetData>
    <row r="1" spans="1:25" x14ac:dyDescent="0.25">
      <c r="B1" s="98" t="s">
        <v>0</v>
      </c>
      <c r="C1" s="98"/>
      <c r="D1" s="98"/>
      <c r="E1" s="98"/>
      <c r="F1" s="98" t="s">
        <v>1</v>
      </c>
      <c r="G1" s="98"/>
      <c r="H1" s="98"/>
      <c r="I1" s="98"/>
      <c r="J1" s="98" t="s">
        <v>2</v>
      </c>
      <c r="K1" s="98"/>
      <c r="L1" s="98"/>
      <c r="M1" s="98"/>
      <c r="N1" s="98" t="s">
        <v>3</v>
      </c>
      <c r="O1" s="98"/>
      <c r="P1" s="98"/>
      <c r="Q1" s="98"/>
      <c r="R1" s="98" t="s">
        <v>4</v>
      </c>
      <c r="S1" s="98"/>
      <c r="T1" s="98"/>
      <c r="U1" s="98"/>
      <c r="V1" s="98" t="s">
        <v>5</v>
      </c>
      <c r="W1" s="98"/>
      <c r="X1" s="98"/>
      <c r="Y1" s="98"/>
    </row>
    <row r="2" spans="1:25" x14ac:dyDescent="0.25">
      <c r="B2" s="16" t="s">
        <v>6</v>
      </c>
      <c r="C2" t="s">
        <v>7</v>
      </c>
      <c r="D2" t="s">
        <v>8</v>
      </c>
      <c r="E2" t="s">
        <v>9</v>
      </c>
      <c r="F2" s="16" t="s">
        <v>6</v>
      </c>
      <c r="G2" t="s">
        <v>7</v>
      </c>
      <c r="H2" t="s">
        <v>8</v>
      </c>
      <c r="I2" t="s">
        <v>9</v>
      </c>
      <c r="J2" s="16" t="s">
        <v>6</v>
      </c>
      <c r="K2" t="s">
        <v>7</v>
      </c>
      <c r="L2" t="s">
        <v>8</v>
      </c>
      <c r="M2" t="s">
        <v>9</v>
      </c>
      <c r="N2" s="16" t="s">
        <v>6</v>
      </c>
      <c r="O2" t="s">
        <v>7</v>
      </c>
      <c r="P2" t="s">
        <v>8</v>
      </c>
      <c r="Q2" t="s">
        <v>9</v>
      </c>
      <c r="R2" s="16" t="s">
        <v>6</v>
      </c>
      <c r="S2" t="s">
        <v>7</v>
      </c>
      <c r="T2" t="s">
        <v>8</v>
      </c>
      <c r="U2" t="s">
        <v>9</v>
      </c>
      <c r="V2" s="16" t="s">
        <v>6</v>
      </c>
      <c r="W2" t="s">
        <v>7</v>
      </c>
      <c r="X2" t="s">
        <v>8</v>
      </c>
      <c r="Y2" t="s">
        <v>9</v>
      </c>
    </row>
    <row r="3" spans="1:25" s="9" customFormat="1" x14ac:dyDescent="0.25">
      <c r="A3" s="13" t="s">
        <v>19</v>
      </c>
      <c r="B3" s="21">
        <f>('R0031_Gen2'!B24/'R0031_Gen2'!B24)*100</f>
        <v>100</v>
      </c>
      <c r="C3" s="21">
        <f>('R0031_Gen2'!C24/'R0031_Gen2'!C24)*100</f>
        <v>100</v>
      </c>
      <c r="D3" s="21">
        <f>('R0031_Gen2'!D24/'R0031_Gen2'!D24)*100</f>
        <v>100</v>
      </c>
      <c r="E3" s="21">
        <f>('R0031_Gen2'!E24/'R0031_Gen2'!E24)*100</f>
        <v>100</v>
      </c>
      <c r="F3" s="21">
        <f>('R0031_Gen2'!F24/'R0031_Gen2'!F24)*100</f>
        <v>100</v>
      </c>
      <c r="G3" s="21">
        <f>('R0031_Gen2'!G24/'R0031_Gen2'!G24)*100</f>
        <v>100</v>
      </c>
      <c r="H3" s="21">
        <f>('R0031_Gen2'!H24/'R0031_Gen2'!H24)*100</f>
        <v>100</v>
      </c>
      <c r="I3" s="21">
        <f>('R0031_Gen2'!I24/'R0031_Gen2'!I24)*100</f>
        <v>100</v>
      </c>
      <c r="J3" s="21">
        <f>('R0031_Gen2'!J24/'R0031_Gen2'!J24)*100</f>
        <v>100</v>
      </c>
      <c r="K3" s="21">
        <f>('R0031_Gen2'!K24/'R0031_Gen2'!K24)*100</f>
        <v>100</v>
      </c>
      <c r="L3" s="21">
        <f>('R0031_Gen2'!L24/'R0031_Gen2'!L24)*100</f>
        <v>100</v>
      </c>
      <c r="M3" s="21">
        <f>('R0031_Gen2'!M24/'R0031_Gen2'!M24)*100</f>
        <v>100</v>
      </c>
      <c r="N3" s="21">
        <f>('R0031_Gen2'!N24/'R0031_Gen2'!N24)*100</f>
        <v>100</v>
      </c>
      <c r="O3" s="21">
        <f>('R0031_Gen2'!O24/'R0031_Gen2'!O24)*100</f>
        <v>100</v>
      </c>
      <c r="P3" s="21">
        <f>('R0031_Gen2'!P24/'R0031_Gen2'!P24)*100</f>
        <v>100</v>
      </c>
      <c r="Q3" s="21">
        <f>('R0031_Gen2'!Q24/'R0031_Gen2'!Q24)*100</f>
        <v>100</v>
      </c>
      <c r="R3" s="21">
        <f>('R0031_Gen2'!R24/'R0031_Gen2'!R24)*100</f>
        <v>100</v>
      </c>
      <c r="S3" s="21">
        <f>('R0031_Gen2'!S24/'R0031_Gen2'!S24)*100</f>
        <v>100</v>
      </c>
      <c r="T3" s="21">
        <f>('R0031_Gen2'!T24/'R0031_Gen2'!T24)*100</f>
        <v>100</v>
      </c>
      <c r="U3" s="21">
        <f>('R0031_Gen2'!U24/'R0031_Gen2'!U24)*100</f>
        <v>100</v>
      </c>
      <c r="V3" s="21">
        <f>('R0031_Gen2'!V24/'R0031_Gen2'!V24)*100</f>
        <v>100</v>
      </c>
      <c r="W3" s="21">
        <f>('R0031_Gen2'!W24/'R0031_Gen2'!W24)*100</f>
        <v>100</v>
      </c>
      <c r="X3" s="21">
        <f>('R0031_Gen2'!X24/'R0031_Gen2'!X24)*100</f>
        <v>100</v>
      </c>
      <c r="Y3" s="21">
        <f>('R0031_Gen2'!Y24/'R0031_Gen2'!Y24)*100</f>
        <v>100</v>
      </c>
    </row>
    <row r="4" spans="1:25" s="24" customFormat="1" x14ac:dyDescent="0.25">
      <c r="A4" s="22" t="s">
        <v>12</v>
      </c>
      <c r="B4" s="23">
        <f>('R0031_Gen2'!B25/'R0031_Gen2'!$B$24)*100</f>
        <v>4.3229372285827079</v>
      </c>
      <c r="C4" s="23">
        <f>('R0031_Gen2'!C25/'R0031_Gen2'!$C$24)*100</f>
        <v>4.8335456329397184</v>
      </c>
      <c r="D4" s="23">
        <f>('R0031_Gen2'!D25/'R0031_Gen2'!$D$24)*100</f>
        <v>4.6610719103455418</v>
      </c>
      <c r="E4" s="23">
        <f>('R0031_Gen2'!E25/'R0031_Gen2'!$E$24)*100</f>
        <v>5.1392784829710942</v>
      </c>
      <c r="F4" s="23">
        <f>('R0031_Gen2'!F25/'R0031_Gen2'!$F$24)*100</f>
        <v>5.4842693009771288</v>
      </c>
      <c r="G4" s="23">
        <f>('R0031_Gen2'!G25/'R0031_Gen2'!$G$24)*100</f>
        <v>6.0972821862691946</v>
      </c>
      <c r="H4" s="23">
        <f>('R0031_Gen2'!H25/'R0031_Gen2'!$H$24)*100</f>
        <v>6.1475325318100289</v>
      </c>
      <c r="I4" s="23">
        <f>('R0031_Gen2'!I25/'R0031_Gen2'!$I$24)*100</f>
        <v>5.010648048307095</v>
      </c>
      <c r="J4" s="23">
        <f>('R0031_Gen2'!J25/'R0031_Gen2'!$J$24)*100</f>
        <v>4.8035369988697552</v>
      </c>
      <c r="K4" s="23">
        <f>('R0031_Gen2'!K25/'R0031_Gen2'!$K$24)*100</f>
        <v>5.5113079140539103</v>
      </c>
      <c r="L4" s="23">
        <f>('R0031_Gen2'!L25/'R0031_Gen2'!$L$24)*100</f>
        <v>6.2384132766646427</v>
      </c>
      <c r="M4" s="23">
        <f>('R0031_Gen2'!M25/'R0031_Gen2'!$M$24)*100</f>
        <v>4.6628036490930302</v>
      </c>
      <c r="N4" s="23">
        <f>('R0031_Gen2'!N25/'R0031_Gen2'!$N$24)*100</f>
        <v>5.2896174863387975</v>
      </c>
      <c r="O4" s="23">
        <f>('R0031_Gen2'!O25/'R0031_Gen2'!$O$24)*100</f>
        <v>4.0081103182515765</v>
      </c>
      <c r="P4" s="23">
        <f>('R0031_Gen2'!P25/'R0031_Gen2'!$P$24)*100</f>
        <v>3.4907305729604028</v>
      </c>
      <c r="Q4" s="23">
        <f>('R0031_Gen2'!Q25/'R0031_Gen2'!$Q$24)*100</f>
        <v>6.2203714248471824</v>
      </c>
      <c r="R4" s="23">
        <f>('R0031_Gen2'!R25/'R0031_Gen2'!$R$24)*100</f>
        <v>3.0304164366643898</v>
      </c>
      <c r="S4" s="23">
        <f>('R0031_Gen2'!S25/'R0031_Gen2'!$S$24)*100</f>
        <v>4.2689443870462069</v>
      </c>
      <c r="T4" s="23">
        <f>('R0031_Gen2'!T25/'R0031_Gen2'!$T$24)*100</f>
        <v>4.1875592898766776</v>
      </c>
      <c r="U4" s="23">
        <f>('R0031_Gen2'!U25/'R0031_Gen2'!$U$24)*100</f>
        <v>5.8754039123032546</v>
      </c>
      <c r="V4" s="23">
        <f>('R0031_Gen2'!V25/'R0031_Gen2'!$V$24)*100</f>
        <v>6.1423269013395752</v>
      </c>
      <c r="W4" s="23">
        <f>('R0031_Gen2'!W25/'R0031_Gen2'!$W$24)*100</f>
        <v>3.7764711914813613</v>
      </c>
      <c r="X4" s="23">
        <f>('R0031_Gen2'!X25/'R0031_Gen2'!$X$24)*100</f>
        <v>5.8679224835223298</v>
      </c>
      <c r="Y4" s="23">
        <f>('R0031_Gen2'!Y25/'R0031_Gen2'!$Y$24)*100</f>
        <v>6.523358594902799</v>
      </c>
    </row>
    <row r="5" spans="1:25" x14ac:dyDescent="0.25">
      <c r="A5" s="2" t="s">
        <v>8</v>
      </c>
      <c r="B5" s="16">
        <f>('R0031_Gen2'!B4/'R0031_Gen2'!$B$24)*100</f>
        <v>0.21008403361344538</v>
      </c>
      <c r="C5" s="16">
        <f>('R0031_Gen2'!C4/'R0031_Gen2'!$C$24)*100</f>
        <v>0.57975006024718556</v>
      </c>
      <c r="D5" s="16">
        <f>('R0031_Gen2'!D4/'R0031_Gen2'!$D$24)*100</f>
        <v>0.15824426688803567</v>
      </c>
      <c r="E5" s="16">
        <f>('R0031_Gen2'!E4/'R0031_Gen2'!$E$24)*100</f>
        <v>8.408505371353231E-2</v>
      </c>
      <c r="F5" s="16">
        <f>('R0031_Gen2'!F4/'R0031_Gen2'!$F$24)*100</f>
        <v>0.17717169547943734</v>
      </c>
      <c r="G5" s="16">
        <f>('R0031_Gen2'!G4/'R0031_Gen2'!$G$24)*100</f>
        <v>0.49052586201265819</v>
      </c>
      <c r="H5" s="16">
        <f>('R0031_Gen2'!H4/'R0031_Gen2'!$H$24)*100</f>
        <v>0.38288892096815225</v>
      </c>
      <c r="I5" s="16">
        <f>('R0031_Gen2'!I4/'R0031_Gen2'!$I$24)*100</f>
        <v>0.10311084753073106</v>
      </c>
      <c r="J5" s="16">
        <f>('R0031_Gen2'!J4/'R0031_Gen2'!$J$24)*100</f>
        <v>0.1588990093743767</v>
      </c>
      <c r="K5" s="16">
        <f>('R0031_Gen2'!K4/'R0031_Gen2'!$K$24)*100</f>
        <v>0.39451395286635565</v>
      </c>
      <c r="L5" s="16">
        <f>('R0031_Gen2'!L4/'R0031_Gen2'!$L$24)*100</f>
        <v>4.6144505160898609E-2</v>
      </c>
      <c r="M5" s="16">
        <f>('R0031_Gen2'!M4/'R0031_Gen2'!$M$24)*100</f>
        <v>0.12397899649941657</v>
      </c>
      <c r="N5" s="16">
        <f>('R0031_Gen2'!N4/'R0031_Gen2'!$N$24)*100</f>
        <v>0.21233411397345825</v>
      </c>
      <c r="O5" s="16">
        <f>('R0031_Gen2'!O4/'R0031_Gen2'!$O$24)*100</f>
        <v>0.62395680471384241</v>
      </c>
      <c r="P5" s="16">
        <f>('R0031_Gen2'!P4/'R0031_Gen2'!$P$24)*100</f>
        <v>0.25515147600284216</v>
      </c>
      <c r="Q5" s="16">
        <f>('R0031_Gen2'!Q4/'R0031_Gen2'!$Q$24)*100</f>
        <v>0.24354603019970772</v>
      </c>
      <c r="R5" s="16">
        <f>('R0031_Gen2'!R4/'R0031_Gen2'!$R$24)*100</f>
        <v>0</v>
      </c>
      <c r="S5" s="16">
        <f>('R0031_Gen2'!S4/'R0031_Gen2'!$S$24)*100</f>
        <v>0</v>
      </c>
      <c r="T5" s="16">
        <f>('R0031_Gen2'!T4/'R0031_Gen2'!$T$24)*100</f>
        <v>0.25429876517621547</v>
      </c>
      <c r="U5" s="16">
        <f>('R0031_Gen2'!U4/'R0031_Gen2'!$U$24)*100</f>
        <v>0.15496334387269378</v>
      </c>
      <c r="V5" s="16">
        <f>('R0031_Gen2'!V4/'R0031_Gen2'!$V$24)*100</f>
        <v>0</v>
      </c>
      <c r="W5" s="25">
        <f>('R0031_Gen2'!W4/'R0031_Gen2'!$W$24)*100</f>
        <v>0</v>
      </c>
      <c r="X5" s="16">
        <f>('R0031_Gen2'!X4/'R0031_Gen2'!$X$24)*100</f>
        <v>0</v>
      </c>
      <c r="Y5" s="16">
        <f>('R0031_Gen2'!Y4/'R0031_Gen2'!$Y$24)*100</f>
        <v>1.2657049123963153</v>
      </c>
    </row>
    <row r="6" spans="1:25" x14ac:dyDescent="0.25">
      <c r="A6" s="2" t="s">
        <v>6</v>
      </c>
      <c r="B6" s="16">
        <f>('R0031_Gen2'!B5/'R0031_Gen2'!$B$24)*100</f>
        <v>0.20303423382775926</v>
      </c>
      <c r="C6" s="16">
        <f>('R0031_Gen2'!C5/'R0031_Gen2'!$C$24)*100</f>
        <v>0.61279994491685885</v>
      </c>
      <c r="D6" s="16">
        <f>('R0031_Gen2'!D5/'R0031_Gen2'!$D$24)*100</f>
        <v>0.72247587423472015</v>
      </c>
      <c r="E6" s="16">
        <f>('R0031_Gen2'!E5/'R0031_Gen2'!$E$24)*100</f>
        <v>1.5135309668435815</v>
      </c>
      <c r="F6" s="16">
        <f>('R0031_Gen2'!F5/'R0031_Gen2'!$F$24)*100</f>
        <v>0.18321163964350909</v>
      </c>
      <c r="G6" s="16">
        <f>('R0031_Gen2'!G5/'R0031_Gen2'!$G$24)*100</f>
        <v>0.35140201566286305</v>
      </c>
      <c r="H6" s="16">
        <f>('R0031_Gen2'!H5/'R0031_Gen2'!$H$24)*100</f>
        <v>0.3498931073120099</v>
      </c>
      <c r="I6" s="16">
        <f>('R0031_Gen2'!I5/'R0031_Gen2'!$I$24)*100</f>
        <v>0.36122492991158078</v>
      </c>
      <c r="J6" s="16">
        <f>('R0031_Gen2'!J5/'R0031_Gen2'!$J$24)*100</f>
        <v>0.37231567050063158</v>
      </c>
      <c r="K6" s="16">
        <f>('R0031_Gen2'!K5/'R0031_Gen2'!$K$24)*100</f>
        <v>0.46286665279800293</v>
      </c>
      <c r="L6" s="16">
        <f>('R0031_Gen2'!L5/'R0031_Gen2'!$L$24)*100</f>
        <v>0.14895770087026916</v>
      </c>
      <c r="M6" s="16">
        <f>('R0031_Gen2'!M5/'R0031_Gen2'!$M$24)*100</f>
        <v>0.28707436087832816</v>
      </c>
      <c r="N6" s="16">
        <f>('R0031_Gen2'!N5/'R0031_Gen2'!$N$24)*100</f>
        <v>0.40801457194899815</v>
      </c>
      <c r="O6" s="16">
        <f>('R0031_Gen2'!O5/'R0031_Gen2'!$O$24)*100</f>
        <v>0.25092697352944471</v>
      </c>
      <c r="P6" s="16">
        <f>('R0031_Gen2'!P5/'R0031_Gen2'!$P$24)*100</f>
        <v>0.32814417673276913</v>
      </c>
      <c r="Q6" s="16">
        <f>('R0031_Gen2'!Q5/'R0031_Gen2'!$Q$24)*100</f>
        <v>0.72446368419969398</v>
      </c>
      <c r="R6" s="16">
        <f>('R0031_Gen2'!R5/'R0031_Gen2'!$R$24)*100</f>
        <v>0</v>
      </c>
      <c r="S6" s="16">
        <f>('R0031_Gen2'!S5/'R0031_Gen2'!$S$24)*100</f>
        <v>0.17813245929673302</v>
      </c>
      <c r="T6" s="16">
        <f>('R0031_Gen2'!T5/'R0031_Gen2'!$T$24)*100</f>
        <v>0</v>
      </c>
      <c r="U6" s="16">
        <f>('R0031_Gen2'!U5/'R0031_Gen2'!$U$24)*100</f>
        <v>0.25989367985823975</v>
      </c>
      <c r="V6" s="16">
        <f>('R0031_Gen2'!V5/'R0031_Gen2'!$V$24)*100</f>
        <v>0.24450661771189905</v>
      </c>
      <c r="W6" s="16">
        <f>('R0031_Gen2'!W5/'R0031_Gen2'!$W$24)*100</f>
        <v>0.3811509733877998</v>
      </c>
      <c r="X6" s="16">
        <f>('R0031_Gen2'!X5/'R0031_Gen2'!$X$24)*100</f>
        <v>0</v>
      </c>
      <c r="Y6" s="16">
        <f>('R0031_Gen2'!Y5/'R0031_Gen2'!$Y$24)*100</f>
        <v>1.2477973726057621</v>
      </c>
    </row>
    <row r="7" spans="1:25" x14ac:dyDescent="0.25">
      <c r="A7" s="2" t="s">
        <v>14</v>
      </c>
      <c r="B7" s="16">
        <f>('R0031_Gen2'!B6/'R0031_Gen2'!$B$24)*100</f>
        <v>0.17906491455642659</v>
      </c>
      <c r="C7" s="16">
        <f>('R0031_Gen2'!C6/'R0031_Gen2'!$C$24)*100</f>
        <v>0.12737976383103247</v>
      </c>
      <c r="D7" s="16">
        <f>('R0031_Gen2'!D6/'R0031_Gen2'!$D$24)*100</f>
        <v>0.1232229947078966</v>
      </c>
      <c r="E7" s="16">
        <f>('R0031_Gen2'!E6/'R0031_Gen2'!$E$24)*100</f>
        <v>0.11906443605836174</v>
      </c>
      <c r="F7" s="16">
        <f>('R0031_Gen2'!F6/'R0031_Gen2'!$F$24)*100</f>
        <v>0.13824761086653065</v>
      </c>
      <c r="G7" s="16">
        <f>('R0031_Gen2'!G6/'R0031_Gen2'!$G$24)*100</f>
        <v>0.28412616508056765</v>
      </c>
      <c r="H7" s="16">
        <f>('R0031_Gen2'!H6/'R0031_Gen2'!$H$24)*100</f>
        <v>0.17254060891024456</v>
      </c>
      <c r="I7" s="16">
        <f>('R0031_Gen2'!I6/'R0031_Gen2'!$I$24)*100</f>
        <v>0.11793724390769895</v>
      </c>
      <c r="J7" s="16">
        <f>('R0031_Gen2'!J6/'R0031_Gen2'!$J$24)*100</f>
        <v>0.13296988232165413</v>
      </c>
      <c r="K7" s="16">
        <f>('R0031_Gen2'!K6/'R0031_Gen2'!$K$24)*100</f>
        <v>0.14487800528990463</v>
      </c>
      <c r="L7" s="16">
        <f>('R0031_Gen2'!L6/'R0031_Gen2'!$L$24)*100</f>
        <v>0.33029751062537954</v>
      </c>
      <c r="M7" s="16">
        <f>('R0031_Gen2'!M6/'R0031_Gen2'!$M$24)*100</f>
        <v>0.29370425373925957</v>
      </c>
      <c r="N7" s="16">
        <f>('R0031_Gen2'!N6/'R0031_Gen2'!$N$24)*100</f>
        <v>0.25292740046838408</v>
      </c>
      <c r="O7" s="16">
        <f>('R0031_Gen2'!O6/'R0031_Gen2'!$O$24)*100</f>
        <v>0</v>
      </c>
      <c r="P7" s="16">
        <f>('R0031_Gen2'!P6/'R0031_Gen2'!$P$24)*100</f>
        <v>7.0408888314708346E-2</v>
      </c>
      <c r="Q7" s="16">
        <f>('R0031_Gen2'!Q6/'R0031_Gen2'!$Q$24)*100</f>
        <v>0.14818575358630104</v>
      </c>
      <c r="R7" s="25">
        <f>('R0031_Gen2'!R6/'R0031_Gen2'!$R$24)*100</f>
        <v>0</v>
      </c>
      <c r="S7" s="16">
        <f>('R0031_Gen2'!S6/'R0031_Gen2'!$S$24)*100</f>
        <v>5.0767750899568913E-2</v>
      </c>
      <c r="T7" s="16">
        <f>('R0031_Gen2'!T6/'R0031_Gen2'!$T$24)*100</f>
        <v>0.36112019004647533</v>
      </c>
      <c r="U7" s="16">
        <f>('R0031_Gen2'!U6/'R0031_Gen2'!$U$24)*100</f>
        <v>2.4335499113998815</v>
      </c>
      <c r="V7" s="16">
        <f>('R0031_Gen2'!V6/'R0031_Gen2'!$V$24)*100</f>
        <v>0.85376900938745082</v>
      </c>
      <c r="W7" s="16">
        <f>('R0031_Gen2'!W6/'R0031_Gen2'!$W$24)*100</f>
        <v>0.60761960107337587</v>
      </c>
      <c r="X7" s="16">
        <f>('R0031_Gen2'!X6/'R0031_Gen2'!$X$24)*100</f>
        <v>1.8364351090137045</v>
      </c>
      <c r="Y7" s="16">
        <f>('R0031_Gen2'!Y6/'R0031_Gen2'!$Y$24)*100</f>
        <v>0.67618870249129692</v>
      </c>
    </row>
    <row r="8" spans="1:25" x14ac:dyDescent="0.25">
      <c r="A8" s="2" t="s">
        <v>15</v>
      </c>
      <c r="B8" s="16">
        <f>('R0031_Gen2'!B7/'R0031_Gen2'!$B$24)*100</f>
        <v>0.36517962889853928</v>
      </c>
      <c r="C8" s="16">
        <f>('R0031_Gen2'!C7/'R0031_Gen2'!$C$24)*100</f>
        <v>0.51640444796364504</v>
      </c>
      <c r="D8" s="16">
        <f>('R0031_Gen2'!D7/'R0031_Gen2'!$D$24)*100</f>
        <v>0.54736951333402506</v>
      </c>
      <c r="E8" s="16">
        <f>('R0031_Gen2'!E7/'R0031_Gen2'!$E$24)*100</f>
        <v>0.51594588958623422</v>
      </c>
      <c r="F8" s="16">
        <f>('R0031_Gen2'!F7/'R0031_Gen2'!$F$24)*100</f>
        <v>0.68452700526146237</v>
      </c>
      <c r="G8" s="16">
        <f>('R0031_Gen2'!G7/'R0031_Gen2'!$G$24)*100</f>
        <v>0.67863697820393065</v>
      </c>
      <c r="H8" s="16">
        <f>('R0031_Gen2'!H7/'R0031_Gen2'!$H$24)*100</f>
        <v>0.54649316367985823</v>
      </c>
      <c r="I8" s="16">
        <f>('R0031_Gen2'!I7/'R0031_Gen2'!$I$24)*100</f>
        <v>0.53577205089497515</v>
      </c>
      <c r="J8" s="16">
        <f>('R0031_Gen2'!J7/'R0031_Gen2'!$J$24)*100</f>
        <v>0.46406488930257295</v>
      </c>
      <c r="K8" s="16">
        <f>('R0031_Gen2'!K7/'R0031_Gen2'!$K$24)*100</f>
        <v>0.49704300276382662</v>
      </c>
      <c r="L8" s="16">
        <f>('R0031_Gen2'!L7/'R0031_Gen2'!$L$24)*100</f>
        <v>0.87512649261283149</v>
      </c>
      <c r="M8" s="16">
        <f>('R0031_Gen2'!M7/'R0031_Gen2'!$M$24)*100</f>
        <v>0.55956295746260742</v>
      </c>
      <c r="N8" s="16">
        <f>('R0031_Gen2'!N7/'R0031_Gen2'!$N$24)*100</f>
        <v>0.95029924538121269</v>
      </c>
      <c r="O8" s="16">
        <f>('R0031_Gen2'!O7/'R0031_Gen2'!$O$24)*100</f>
        <v>0.13554537409403042</v>
      </c>
      <c r="P8" s="16">
        <f>('R0031_Gen2'!P7/'R0031_Gen2'!$P$24)*100</f>
        <v>0.24481622634196756</v>
      </c>
      <c r="Q8" s="16">
        <f>('R0031_Gen2'!Q7/'R0031_Gen2'!$Q$24)*100</f>
        <v>0.93096327600282625</v>
      </c>
      <c r="R8" s="16">
        <f>('R0031_Gen2'!R7/'R0031_Gen2'!$R$24)*100</f>
        <v>0</v>
      </c>
      <c r="S8" s="16">
        <f>('R0031_Gen2'!S7/'R0031_Gen2'!$S$24)*100</f>
        <v>0.23691617086465494</v>
      </c>
      <c r="T8" s="16">
        <f>('R0031_Gen2'!T7/'R0031_Gen2'!$T$24)*100</f>
        <v>0.15624626324306656</v>
      </c>
      <c r="U8" s="16">
        <f>('R0031_Gen2'!U7/'R0031_Gen2'!$U$24)*100</f>
        <v>0.15426844098537226</v>
      </c>
      <c r="V8" s="16">
        <f>('R0031_Gen2'!V7/'R0031_Gen2'!$V$24)*100</f>
        <v>1.5624373702311189</v>
      </c>
      <c r="W8" s="16">
        <f>('R0031_Gen2'!W7/'R0031_Gen2'!$W$24)*100</f>
        <v>0.44439126942075302</v>
      </c>
      <c r="X8" s="16">
        <f>('R0031_Gen2'!X7/'R0031_Gen2'!$X$24)*100</f>
        <v>0.19113112186086836</v>
      </c>
      <c r="Y8" s="16">
        <f>('R0031_Gen2'!Y7/'R0031_Gen2'!$Y$24)*100</f>
        <v>0.29511625574832029</v>
      </c>
    </row>
    <row r="9" spans="1:25" x14ac:dyDescent="0.25">
      <c r="A9" s="2" t="s">
        <v>16</v>
      </c>
      <c r="B9" s="16">
        <f>('R0031_Gen2'!B8/'R0031_Gen2'!$B$24)*100</f>
        <v>3.365574417686537</v>
      </c>
      <c r="C9" s="16">
        <f>('R0031_Gen2'!C8/'R0031_Gen2'!$C$24)*100</f>
        <v>2.9972114159809964</v>
      </c>
      <c r="D9" s="16">
        <f>('R0031_Gen2'!D8/'R0031_Gen2'!$D$24)*100</f>
        <v>3.1097592611808644</v>
      </c>
      <c r="E9" s="16">
        <f>('R0031_Gen2'!E8/'R0031_Gen2'!$E$24)*100</f>
        <v>2.9066521367693845</v>
      </c>
      <c r="F9" s="16">
        <f>('R0031_Gen2'!F8/'R0031_Gen2'!$F$24)*100</f>
        <v>4.3011113497261899</v>
      </c>
      <c r="G9" s="16">
        <f>('R0031_Gen2'!G8/'R0031_Gen2'!$G$24)*100</f>
        <v>4.2925911653091742</v>
      </c>
      <c r="H9" s="16">
        <f>('R0031_Gen2'!H8/'R0031_Gen2'!$H$24)*100</f>
        <v>4.6957167309397629</v>
      </c>
      <c r="I9" s="16">
        <f>('R0031_Gen2'!I8/'R0031_Gen2'!$I$24)*100</f>
        <v>3.8926029760621086</v>
      </c>
      <c r="J9" s="16">
        <f>('R0031_Gen2'!J8/'R0031_Gen2'!$J$24)*100</f>
        <v>3.6752875473705204</v>
      </c>
      <c r="K9" s="16">
        <f>('R0031_Gen2'!K8/'R0031_Gen2'!$K$24)*100</f>
        <v>4.0120063003358206</v>
      </c>
      <c r="L9" s="16">
        <f>('R0031_Gen2'!L8/'R0031_Gen2'!$L$24)*100</f>
        <v>4.8378870673952648</v>
      </c>
      <c r="M9" s="16">
        <f>('R0031_Gen2'!M8/'R0031_Gen2'!$M$24)*100</f>
        <v>3.3984830805134187</v>
      </c>
      <c r="N9" s="16">
        <f>('R0031_Gen2'!N8/'R0031_Gen2'!$N$24)*100</f>
        <v>3.466042154566745</v>
      </c>
      <c r="O9" s="16">
        <f>('R0031_Gen2'!O8/'R0031_Gen2'!$O$24)*100</f>
        <v>2.9976811659142593</v>
      </c>
      <c r="P9" s="16">
        <f>('R0031_Gen2'!P8/'R0031_Gen2'!$P$24)*100</f>
        <v>2.5922098055681153</v>
      </c>
      <c r="Q9" s="16">
        <f>('R0031_Gen2'!Q8/'R0031_Gen2'!$Q$24)*100</f>
        <v>4.1732126808586534</v>
      </c>
      <c r="R9" s="16">
        <f>('R0031_Gen2'!R8/'R0031_Gen2'!$R$24)*100</f>
        <v>3.0304164366643898</v>
      </c>
      <c r="S9" s="16">
        <f>('R0031_Gen2'!S8/'R0031_Gen2'!$S$24)*100</f>
        <v>3.8031280059852506</v>
      </c>
      <c r="T9" s="16">
        <f>('R0031_Gen2'!T8/'R0031_Gen2'!$T$24)*100</f>
        <v>3.4158940714109196</v>
      </c>
      <c r="U9" s="16">
        <f>('R0031_Gen2'!U8/'R0031_Gen2'!$U$24)*100</f>
        <v>2.8727285361870671</v>
      </c>
      <c r="V9" s="16">
        <f>('R0031_Gen2'!V8/'R0031_Gen2'!$V$24)*100</f>
        <v>3.4816139040091074</v>
      </c>
      <c r="W9" s="16">
        <f>('R0031_Gen2'!W8/'R0031_Gen2'!$W$24)*100</f>
        <v>2.3433093475994324</v>
      </c>
      <c r="X9" s="16">
        <f>('R0031_Gen2'!X8/'R0031_Gen2'!$X$24)*100</f>
        <v>3.8403562526477573</v>
      </c>
      <c r="Y9" s="16">
        <f>('R0031_Gen2'!Y8/'R0031_Gen2'!$Y$24)*100</f>
        <v>3.0385513516611038</v>
      </c>
    </row>
    <row r="10" spans="1:25" s="10" customFormat="1" x14ac:dyDescent="0.25">
      <c r="A10" s="14" t="s">
        <v>20</v>
      </c>
      <c r="B10" s="18">
        <f>(('R0031_Gen2'!$B$26+'R0031_Gen2'!$B$27)/'R0031_Gen2'!$B$24)*100</f>
        <v>95.677062771417283</v>
      </c>
      <c r="C10" s="18">
        <f>(('R0031_Gen2'!$C$26+'R0031_Gen2'!$C$27)/'R0031_Gen2'!$C$24)*100</f>
        <v>95.166454367060282</v>
      </c>
      <c r="D10" s="18">
        <f>(('R0031_Gen2'!D26+'R0031_Gen2'!D27)/'R0031_Gen2'!D24)*100</f>
        <v>95.338928089654459</v>
      </c>
      <c r="E10" s="18">
        <f>(('R0031_Gen2'!E26+'R0031_Gen2'!E27)/'R0031_Gen2'!E24)*100</f>
        <v>94.860721517028907</v>
      </c>
      <c r="F10" s="18">
        <f>(('R0031_Gen2'!F26+'R0031_Gen2'!F27)/'R0031_Gen2'!F24)*100</f>
        <v>94.515730699022868</v>
      </c>
      <c r="G10" s="18">
        <f>(('R0031_Gen2'!G26+'R0031_Gen2'!G27)/'R0031_Gen2'!G24)*100</f>
        <v>93.902717813730803</v>
      </c>
      <c r="H10" s="18">
        <f>(('R0031_Gen2'!H26+'R0031_Gen2'!H27)/'R0031_Gen2'!H24)*100</f>
        <v>93.85246746819</v>
      </c>
      <c r="I10" s="18">
        <f>(('R0031_Gen2'!I26+'R0031_Gen2'!I27)/'R0031_Gen2'!I24)*100</f>
        <v>94.989351951692896</v>
      </c>
      <c r="J10" s="18">
        <f>(('R0031_Gen2'!J26+'R0031_Gen2'!J27)/'R0031_Gen2'!J24)*100</f>
        <v>95.19646300113024</v>
      </c>
      <c r="K10" s="18">
        <f>(('R0031_Gen2'!K26+'R0031_Gen2'!K27)/'R0031_Gen2'!K24)*100</f>
        <v>94.488692085946099</v>
      </c>
      <c r="L10" s="18">
        <f>(('R0031_Gen2'!L26+'R0031_Gen2'!L27)/'R0031_Gen2'!L24)*100</f>
        <v>93.761586723335355</v>
      </c>
      <c r="M10" s="18">
        <f>(('R0031_Gen2'!M26+'R0031_Gen2'!M27)/'R0031_Gen2'!M24)*100</f>
        <v>95.337196350906964</v>
      </c>
      <c r="N10" s="18">
        <f>(('R0031_Gen2'!N26+'R0031_Gen2'!N27)/'R0031_Gen2'!N24)*100</f>
        <v>94.710382513661202</v>
      </c>
      <c r="O10" s="18">
        <f>(('R0031_Gen2'!O26+'R0031_Gen2'!O27)/'R0031_Gen2'!O24)*100</f>
        <v>95.991889681748432</v>
      </c>
      <c r="P10" s="18">
        <f>(('R0031_Gen2'!P26+'R0031_Gen2'!P27)/'R0031_Gen2'!P24)*100</f>
        <v>96.509269427039612</v>
      </c>
      <c r="Q10" s="18">
        <f>(('R0031_Gen2'!Q26+'R0031_Gen2'!Q27)/'R0031_Gen2'!Q24)*100</f>
        <v>93.779628575152813</v>
      </c>
      <c r="R10" s="18">
        <f>(('R0031_Gen2'!R26+'R0031_Gen2'!R27)/'R0031_Gen2'!R24)*100</f>
        <v>96.96958356333559</v>
      </c>
      <c r="S10" s="18">
        <f>(('R0031_Gen2'!S26+'R0031_Gen2'!S27)/'R0031_Gen2'!S24)*100</f>
        <v>95.731055612953782</v>
      </c>
      <c r="T10" s="18">
        <f>(('R0031_Gen2'!T26+'R0031_Gen2'!T27)/'R0031_Gen2'!T24)*100</f>
        <v>95.812440710123326</v>
      </c>
      <c r="U10" s="18">
        <f>(('R0031_Gen2'!U26+'R0031_Gen2'!U27)/'R0031_Gen2'!U24)*100</f>
        <v>94.12459608769673</v>
      </c>
      <c r="V10" s="18">
        <f>(('R0031_Gen2'!V26+'R0031_Gen2'!V27)/'R0031_Gen2'!V24)*100</f>
        <v>93.857673098660428</v>
      </c>
      <c r="W10" s="18">
        <f>(('R0031_Gen2'!W26+'R0031_Gen2'!W27)/'R0031_Gen2'!W24)*100</f>
        <v>96.223528808518637</v>
      </c>
      <c r="X10" s="18">
        <f>(('R0031_Gen2'!X26+'R0031_Gen2'!X27)/'R0031_Gen2'!X24)*100</f>
        <v>94.132077516477679</v>
      </c>
      <c r="Y10" s="18">
        <f>(('R0031_Gen2'!Y26+'R0031_Gen2'!Y27)/'R0031_Gen2'!Y24)*100</f>
        <v>93.476641405097212</v>
      </c>
    </row>
    <row r="11" spans="1:25" s="11" customFormat="1" x14ac:dyDescent="0.25">
      <c r="A11" s="15" t="s">
        <v>17</v>
      </c>
      <c r="B11" s="17">
        <f>('R0031_Gen2'!B26)/'R0031_Gen2'!$B$24*100</f>
        <v>71.816310416784162</v>
      </c>
      <c r="C11" s="17">
        <f>('R0031_Gen2'!C26)/'R0031_Gen2'!$C$24*100</f>
        <v>72.967259957999104</v>
      </c>
      <c r="D11" s="17">
        <f>('R0031_Gen2'!D26)/'R0031_Gen2'!D24*100</f>
        <v>72.265746601639506</v>
      </c>
      <c r="E11" s="17">
        <f>('R0031_Gen2'!E26)/'R0031_Gen2'!E24*100</f>
        <v>71.276545651457369</v>
      </c>
      <c r="F11" s="17">
        <f>('R0031_Gen2'!F26)/'R0031_Gen2'!F24*100</f>
        <v>66.505825190593796</v>
      </c>
      <c r="G11" s="17">
        <f>('R0031_Gen2'!G26)/'R0031_Gen2'!G24*100</f>
        <v>67.830386476900856</v>
      </c>
      <c r="H11" s="17">
        <f>('R0031_Gen2'!H26)/'R0031_Gen2'!H24*100</f>
        <v>66.039746207199954</v>
      </c>
      <c r="I11" s="17">
        <f>('R0031_Gen2'!I26)/'R0031_Gen2'!I24*100</f>
        <v>67.427755014017691</v>
      </c>
      <c r="J11" s="17">
        <f>('R0031_Gen2'!J26)/'R0031_Gen2'!J24*100</f>
        <v>62.117545375972341</v>
      </c>
      <c r="K11" s="17">
        <f>('R0031_Gen2'!K26)/'R0031_Gen2'!K24*100</f>
        <v>64.636393354928828</v>
      </c>
      <c r="L11" s="17">
        <f>('R0031_Gen2'!L26)/'R0031_Gen2'!L24*100</f>
        <v>63.829184375632465</v>
      </c>
      <c r="M11" s="17">
        <f>('R0031_Gen2'!M26)/'R0031_Gen2'!M24*100</f>
        <v>64.684549697676886</v>
      </c>
      <c r="N11" s="17">
        <f>('R0031_Gen2'!N26)/'R0031_Gen2'!N24*100</f>
        <v>62.00780640124902</v>
      </c>
      <c r="O11" s="17">
        <f>('R0031_Gen2'!O26)/'R0031_Gen2'!O24*100</f>
        <v>60.776977450178684</v>
      </c>
      <c r="P11" s="17">
        <f>('R0031_Gen2'!P26)/'R0031_Gen2'!P24*100</f>
        <v>64.456430463148379</v>
      </c>
      <c r="Q11" s="17">
        <f>('R0031_Gen2'!Q26)/'R0031_Gen2'!Q24*100</f>
        <v>61.790029019710069</v>
      </c>
      <c r="R11" s="17">
        <f>('R0031_Gen2'!R26)/'R0031_Gen2'!R24*100</f>
        <v>49.13503550611415</v>
      </c>
      <c r="S11" s="17">
        <f>('R0031_Gen2'!S26)/'R0031_Gen2'!S24*100</f>
        <v>53.7844240977591</v>
      </c>
      <c r="T11" s="17">
        <f>('R0031_Gen2'!T26)/'R0031_Gen2'!T24*100</f>
        <v>49.809873807227191</v>
      </c>
      <c r="U11" s="17">
        <f>('R0031_Gen2'!U26)/'R0031_Gen2'!U24*100</f>
        <v>48.591084395955662</v>
      </c>
      <c r="V11" s="17">
        <f>('R0031_Gen2'!V26)/'R0031_Gen2'!V24*100</f>
        <v>35.613791776561044</v>
      </c>
      <c r="W11" s="17">
        <f>('R0031_Gen2'!W26)/'R0031_Gen2'!W24*100</f>
        <v>37.807441844565602</v>
      </c>
      <c r="X11" s="17">
        <f>('R0031_Gen2'!X26)/'R0031_Gen2'!X24*100</f>
        <v>42.535541521758411</v>
      </c>
      <c r="Y11" s="17">
        <f>('R0031_Gen2'!Y26)/'R0031_Gen2'!Y24*100</f>
        <v>44.538200363881217</v>
      </c>
    </row>
    <row r="12" spans="1:25" x14ac:dyDescent="0.25">
      <c r="A12" s="2" t="s">
        <v>8</v>
      </c>
      <c r="B12" s="16">
        <f>('R0031_Gen2'!B11/'R0031_Gen2'!$B$24)*100</f>
        <v>69.781033218656603</v>
      </c>
      <c r="C12" s="16">
        <f>('R0031_Gen2'!C11/'R0031_Gen2'!C24)*100</f>
        <v>70.15733122181291</v>
      </c>
      <c r="D12" s="16">
        <f>('R0031_Gen2'!D11/'R0031_Gen2'!$D$24)*100</f>
        <v>70.452422953201193</v>
      </c>
      <c r="E12" s="16">
        <f>('R0031_Gen2'!E11/'R0031_Gen2'!$E$24)*100</f>
        <v>70.175367788024928</v>
      </c>
      <c r="F12" s="16">
        <f>('R0031_Gen2'!F11/'R0031_Gen2'!$F$24)*100</f>
        <v>64.138167078277675</v>
      </c>
      <c r="G12" s="16">
        <f>('R0031_Gen2'!G11/'R0031_Gen2'!$G$24)*100</f>
        <v>65.273250991175743</v>
      </c>
      <c r="H12" s="16">
        <f>('R0031_Gen2'!H11/'R0031_Gen2'!$H$24)*100</f>
        <v>64.231850583957169</v>
      </c>
      <c r="I12" s="16">
        <f>('R0031_Gen2'!I11/'R0031_Gen2'!$I$24)*100</f>
        <v>64.904571921500974</v>
      </c>
      <c r="J12" s="16">
        <f>('R0031_Gen2'!J11/'R0031_Gen2'!$J$24)*100</f>
        <v>59.725417193005782</v>
      </c>
      <c r="K12" s="16">
        <f>('R0031_Gen2'!K11/'R0031_Gen2'!$K$24)*100</f>
        <v>63.010787839163129</v>
      </c>
      <c r="L12" s="16">
        <f>('R0031_Gen2'!L11/'R0031_Gen2'!$L$24)*100</f>
        <v>60.803885853066184</v>
      </c>
      <c r="M12" s="16">
        <f>('R0031_Gen2'!M11/'R0031_Gen2'!$M$24)*100</f>
        <v>61.864856263922782</v>
      </c>
      <c r="N12" s="16">
        <f>('R0031_Gen2'!N11/'R0031_Gen2'!$N$24)*100</f>
        <v>57.571688784803541</v>
      </c>
      <c r="O12" s="16">
        <f>('R0031_Gen2'!O11/'R0031_Gen2'!$O$24)*100</f>
        <v>54.426508642417858</v>
      </c>
      <c r="P12" s="16">
        <f>('R0031_Gen2'!P11/'R0031_Gen2'!$P$24)*100</f>
        <v>60.016148827595103</v>
      </c>
      <c r="Q12" s="16">
        <f>('R0031_Gen2'!Q11/'R0031_Gen2'!$Q$24)*100</f>
        <v>58.747418755102451</v>
      </c>
      <c r="R12" s="16">
        <f>('R0031_Gen2'!R11/'R0031_Gen2'!$R$24)*100</f>
        <v>48.000149696396988</v>
      </c>
      <c r="S12" s="16">
        <f>('R0031_Gen2'!S11/'R0031_Gen2'!$S$24)*100</f>
        <v>48.069044141223408</v>
      </c>
      <c r="T12" s="16">
        <f>('R0031_Gen2'!T11/'R0031_Gen2'!$T$24)*100</f>
        <v>44.618671428457553</v>
      </c>
      <c r="U12" s="16">
        <f>('R0031_Gen2'!U11/'R0031_Gen2'!$U$24)*100</f>
        <v>45.292380389840517</v>
      </c>
      <c r="V12" s="16">
        <f>('R0031_Gen2'!V11/'R0031_Gen2'!$V$24)*100</f>
        <v>34.106669018205729</v>
      </c>
      <c r="W12" s="16">
        <f>('R0031_Gen2'!W11/'R0031_Gen2'!$W$24)*100</f>
        <v>29.246927718050831</v>
      </c>
      <c r="X12" s="16">
        <f>('R0031_Gen2'!X11/'R0031_Gen2'!$X$24)*100</f>
        <v>33.127752435936593</v>
      </c>
      <c r="Y12" s="16">
        <f>('R0031_Gen2'!Y11/'R0031_Gen2'!$Y$24)*100</f>
        <v>35.779264501525724</v>
      </c>
    </row>
    <row r="13" spans="1:25" x14ac:dyDescent="0.25">
      <c r="A13" s="2" t="s">
        <v>6</v>
      </c>
      <c r="B13" s="16">
        <f>('R0031_Gen2'!B12/'R0031_Gen2'!$B$24)*100</f>
        <v>1.5488410129152332</v>
      </c>
      <c r="C13" s="16">
        <f>('R0031_Gen2'!C12/'R0031_Gen2'!$C$24)*100</f>
        <v>1.2008124763314627</v>
      </c>
      <c r="D13" s="16">
        <f>('R0031_Gen2'!D12/'R0031_Gen2'!$D$24)*100</f>
        <v>1.312649164677804</v>
      </c>
      <c r="E13" s="16">
        <f>('R0031_Gen2'!E12/'R0031_Gen2'!$E$24)*100</f>
        <v>0.8132706395172844</v>
      </c>
      <c r="F13" s="16">
        <f>('R0031_Gen2'!F12/'R0031_Gen2'!$F$24)*100</f>
        <v>1.3462364436808762</v>
      </c>
      <c r="G13" s="16">
        <f>('R0031_Gen2'!G12/'R0031_Gen2'!$G$24)*100</f>
        <v>1.9771262108020196</v>
      </c>
      <c r="H13" s="16">
        <f>('R0031_Gen2'!H12/'R0031_Gen2'!$H$24)*100</f>
        <v>1.001560427020822</v>
      </c>
      <c r="I13" s="16">
        <f>('R0031_Gen2'!I12/'R0031_Gen2'!$I$24)*100</f>
        <v>1.4287254690532674</v>
      </c>
      <c r="J13" s="16">
        <f>('R0031_Gen2'!J12/'R0031_Gen2'!$J$24)*100</f>
        <v>1.136892493850143</v>
      </c>
      <c r="K13" s="16">
        <f>('R0031_Gen2'!K12/'R0031_Gen2'!$K$24)*100</f>
        <v>0.77491158726856668</v>
      </c>
      <c r="L13" s="16">
        <f>('R0031_Gen2'!L12/'R0031_Gen2'!$L$24)*100</f>
        <v>1.1422788909127708</v>
      </c>
      <c r="M13" s="16">
        <f>('R0031_Gen2'!M12/'R0031_Gen2'!$M$24)*100</f>
        <v>0.88641667550652392</v>
      </c>
      <c r="N13" s="16">
        <f>('R0031_Gen2'!N12/'R0031_Gen2'!$N$24)*100</f>
        <v>1.6278948737965131</v>
      </c>
      <c r="O13" s="16">
        <f>('R0031_Gen2'!O12/'R0031_Gen2'!$O$24)*100</f>
        <v>1.3341697565784314</v>
      </c>
      <c r="P13" s="16">
        <f>('R0031_Gen2'!P12/'R0031_Gen2'!$P$24)*100</f>
        <v>2.6193398359279119</v>
      </c>
      <c r="Q13" s="16">
        <f>('R0031_Gen2'!Q12/'R0031_Gen2'!$Q$24)*100</f>
        <v>1.3768926270727138</v>
      </c>
      <c r="R13" s="16">
        <f>('R0031_Gen2'!R12/'R0031_Gen2'!$R$24)*100</f>
        <v>0.38640382474294316</v>
      </c>
      <c r="S13" s="16">
        <f>('R0031_Gen2'!S12/'R0031_Gen2'!$S$24)*100</f>
        <v>0</v>
      </c>
      <c r="T13" s="16">
        <f>('R0031_Gen2'!T12/'R0031_Gen2'!$T$24)*100</f>
        <v>0.16740671061757134</v>
      </c>
      <c r="U13" s="16">
        <f>('R0031_Gen2'!U12/'R0031_Gen2'!$U$24)*100</f>
        <v>0.2320975643653799</v>
      </c>
      <c r="V13" s="16">
        <f>('R0031_Gen2'!V12/'R0031_Gen2'!$V$24)*100</f>
        <v>0.38720228313064675</v>
      </c>
      <c r="W13" s="16">
        <f>('R0031_Gen2'!W12/'R0031_Gen2'!$W$24)*100</f>
        <v>0.30936469140444733</v>
      </c>
      <c r="X13" s="16">
        <f>('R0031_Gen2'!X12/'R0031_Gen2'!$X$24)*100</f>
        <v>0</v>
      </c>
      <c r="Y13" s="16">
        <f>('R0031_Gen2'!Y12/'R0031_Gen2'!$Y$24)*100</f>
        <v>0.10887784192656477</v>
      </c>
    </row>
    <row r="14" spans="1:25" x14ac:dyDescent="0.25">
      <c r="A14" s="2" t="s">
        <v>14</v>
      </c>
      <c r="B14" s="16">
        <f>('R0031_Gen2'!B13/'R0031_Gen2'!$B$24)*100</f>
        <v>0.33768540973436351</v>
      </c>
      <c r="C14" s="16">
        <f>('R0031_Gen2'!C13/'R0031_Gen2'!$C$24)*100</f>
        <v>0.30846559025028403</v>
      </c>
      <c r="D14" s="16">
        <f>('R0031_Gen2'!D13/'R0031_Gen2'!$D$24)*100</f>
        <v>0.34372730102729054</v>
      </c>
      <c r="E14" s="16">
        <f>('R0031_Gen2'!E13/'R0031_Gen2'!$E$24)*100</f>
        <v>0.13722680766048473</v>
      </c>
      <c r="F14" s="16">
        <f>('R0031_Gen2'!F13/'R0031_Gen2'!$F$24)*100</f>
        <v>0.57111027595833774</v>
      </c>
      <c r="G14" s="16">
        <f>('R0031_Gen2'!G13/'R0031_Gen2'!$G$24)*100</f>
        <v>0.50228280677461268</v>
      </c>
      <c r="H14" s="16">
        <f>('R0031_Gen2'!H13/'R0031_Gen2'!$H$24)*100</f>
        <v>0.70940999360706125</v>
      </c>
      <c r="I14" s="16">
        <f>('R0031_Gen2'!I13/'R0031_Gen2'!$I$24)*100</f>
        <v>0.59305585507871461</v>
      </c>
      <c r="J14" s="16">
        <f>('R0031_Gen2'!J13/'R0031_Gen2'!$J$24)*100</f>
        <v>0.91017884449172259</v>
      </c>
      <c r="K14" s="16">
        <f>('R0031_Gen2'!K13/'R0031_Gen2'!$K$24)*100</f>
        <v>0.60923058634729121</v>
      </c>
      <c r="L14" s="16">
        <f>('R0031_Gen2'!L13/'R0031_Gen2'!$L$24)*100</f>
        <v>1.6110099170208461</v>
      </c>
      <c r="M14" s="16">
        <f>('R0031_Gen2'!M13/'R0031_Gen2'!$M$24)*100</f>
        <v>1.7469767688554154</v>
      </c>
      <c r="N14" s="16">
        <f>('R0031_Gen2'!N13/'R0031_Gen2'!$N$24)*100</f>
        <v>2.5230288836846215</v>
      </c>
      <c r="O14" s="16">
        <f>('R0031_Gen2'!O13/'R0031_Gen2'!$O$24)*100</f>
        <v>4.1268525467967603</v>
      </c>
      <c r="P14" s="16">
        <f>('R0031_Gen2'!P13/'R0031_Gen2'!$P$24)*100</f>
        <v>1.519281700148569</v>
      </c>
      <c r="Q14" s="16">
        <f>('R0031_Gen2'!Q13/'R0031_Gen2'!$Q$24)*100</f>
        <v>1.4276599685791318</v>
      </c>
      <c r="R14" s="16">
        <f>('R0031_Gen2'!R13/'R0031_Gen2'!$R$24)*100</f>
        <v>0.68486101625141504</v>
      </c>
      <c r="S14" s="16">
        <f>('R0031_Gen2'!S13/'R0031_Gen2'!$S$24)*100</f>
        <v>5.3475364280879258</v>
      </c>
      <c r="T14" s="16">
        <f>('R0031_Gen2'!T13/'R0031_Gen2'!$T$24)*100</f>
        <v>5.0237956681520686</v>
      </c>
      <c r="U14" s="16">
        <f>('R0031_Gen2'!U13/'R0031_Gen2'!$U$24)*100</f>
        <v>2.9818282894965424</v>
      </c>
      <c r="V14" s="16">
        <f>('R0031_Gen2'!V13/'R0031_Gen2'!$V$24)*100</f>
        <v>0.91229026542997083</v>
      </c>
      <c r="W14" s="16">
        <f>('R0031_Gen2'!W13/'R0031_Gen2'!$W$24)*100</f>
        <v>8.2511494351103298</v>
      </c>
      <c r="X14" s="16">
        <f>('R0031_Gen2'!X13/'R0031_Gen2'!$X$24)*100</f>
        <v>6.1595452261554069</v>
      </c>
      <c r="Y14" s="16">
        <f>('R0031_Gen2'!Y13/'R0031_Gen2'!$Y$24)*100</f>
        <v>8.6500580204289221</v>
      </c>
    </row>
    <row r="15" spans="1:25" x14ac:dyDescent="0.25">
      <c r="A15" s="2" t="s">
        <v>15</v>
      </c>
      <c r="B15" s="16">
        <f>('R0031_Gen2'!B14/'R0031_Gen2'!$B$24)*100</f>
        <v>2.8199199142744345E-2</v>
      </c>
      <c r="C15" s="16">
        <f>('R0031_Gen2'!C14/'R0031_Gen2'!$C$24)*100</f>
        <v>0.68853926395152687</v>
      </c>
      <c r="D15" s="16">
        <f>('R0031_Gen2'!D14/'R0031_Gen2'!$D$24)*100</f>
        <v>3.3075645947909092E-2</v>
      </c>
      <c r="E15" s="16">
        <f>('R0031_Gen2'!E14/'R0031_Gen2'!$E$24)*100</f>
        <v>5.0451032228119384E-2</v>
      </c>
      <c r="F15" s="16">
        <f>('R0031_Gen2'!F14/'R0031_Gen2'!$F$24)*100</f>
        <v>0.44091592397723611</v>
      </c>
      <c r="G15" s="16">
        <f>('R0031_Gen2'!G14/'R0031_Gen2'!$G$24)*100</f>
        <v>4.4415124656272648E-2</v>
      </c>
      <c r="H15" s="16">
        <f>('R0031_Gen2'!H14/'R0031_Gen2'!$H$24)*100</f>
        <v>4.2619592639183912E-2</v>
      </c>
      <c r="I15" s="16">
        <f>('R0031_Gen2'!I14/'R0031_Gen2'!$I$24)*100</f>
        <v>0.36459456545180075</v>
      </c>
      <c r="J15" s="16">
        <f>('R0031_Gen2'!J14/'R0031_Gen2'!$J$24)*100</f>
        <v>0.2719234093477827</v>
      </c>
      <c r="K15" s="16">
        <f>('R0031_Gen2'!K14/'R0031_Gen2'!$K$24)*100</f>
        <v>0.16048025201343283</v>
      </c>
      <c r="L15" s="16">
        <f>('R0031_Gen2'!L14/'R0031_Gen2'!$L$24)*100</f>
        <v>0.24610402752479257</v>
      </c>
      <c r="M15" s="16">
        <f>('R0031_Gen2'!M14/'R0031_Gen2'!$M$24)*100</f>
        <v>0.11867508221067148</v>
      </c>
      <c r="N15" s="16">
        <f>('R0031_Gen2'!N14/'R0031_Gen2'!$N$24)*100</f>
        <v>0.22066094197241737</v>
      </c>
      <c r="O15" s="16">
        <f>('R0031_Gen2'!O14/'R0031_Gen2'!$O$24)*100</f>
        <v>0.15010810023636426</v>
      </c>
      <c r="P15" s="16">
        <f>('R0031_Gen2'!P14/'R0031_Gen2'!$P$24)*100</f>
        <v>0.19959950907564111</v>
      </c>
      <c r="Q15" s="16">
        <f>('R0031_Gen2'!Q14/'R0031_Gen2'!$Q$24)*100</f>
        <v>0.23805766895577066</v>
      </c>
      <c r="R15" s="16">
        <f>('R0031_Gen2'!R14/'R0031_Gen2'!$R$24)*100</f>
        <v>0</v>
      </c>
      <c r="S15" s="16">
        <f>('R0031_Gen2'!S14/'R0031_Gen2'!$S$24)*100</f>
        <v>0.35270226940753147</v>
      </c>
      <c r="T15" s="16">
        <f>('R0031_Gen2'!T14/'R0031_Gen2'!$T$24)*100</f>
        <v>0</v>
      </c>
      <c r="U15" s="16">
        <f>('R0031_Gen2'!U14/'R0031_Gen2'!$U$24)*100</f>
        <v>0</v>
      </c>
      <c r="V15" s="16">
        <f>('R0031_Gen2'!V14/'R0031_Gen2'!$V$24)*100</f>
        <v>0.2076302097946946</v>
      </c>
      <c r="W15" s="16">
        <f>('R0031_Gen2'!W14/'R0031_Gen2'!$W$24)*100</f>
        <v>0</v>
      </c>
      <c r="X15" s="16">
        <f>('R0031_Gen2'!X14/'R0031_Gen2'!$X$24)*100</f>
        <v>3.2482438596664069</v>
      </c>
      <c r="Y15" s="16">
        <f>('R0031_Gen2'!Y14/'R0031_Gen2'!$Y$24)*100</f>
        <v>0</v>
      </c>
    </row>
    <row r="16" spans="1:25" x14ac:dyDescent="0.25">
      <c r="A16" s="2" t="s">
        <v>16</v>
      </c>
      <c r="B16" s="16">
        <v>0</v>
      </c>
      <c r="C16" s="16">
        <f>('R0031_Gen2'!C15/'R0031_Gen2'!$C$24)*100</f>
        <v>0.61211140565290734</v>
      </c>
      <c r="D16" s="16">
        <f>('R0031_Gen2'!D15/'R0031_Gen2'!$D$24)*100</f>
        <v>0.1238715367853066</v>
      </c>
      <c r="E16" s="16">
        <f>('R0031_Gen2'!E15/'R0031_Gen2'!$E$24)*100</f>
        <v>0.1002293840265305</v>
      </c>
      <c r="F16" s="16">
        <f>('R0031_Gen2'!F15/'R0031_Gen2'!$F$24)*100</f>
        <v>9.3954686996671321E-3</v>
      </c>
      <c r="G16" s="16">
        <f>('R0031_Gen2'!G15/'R0031_Gen2'!$G$24)*100</f>
        <v>3.3311343492204493E-2</v>
      </c>
      <c r="H16" s="16">
        <f>('R0031_Gen2'!H15/'R0031_Gen2'!$H$24)*100</f>
        <v>5.4305609975734345E-2</v>
      </c>
      <c r="I16" s="16">
        <f>('R0031_Gen2'!I15/'R0031_Gen2'!$I$24)*100</f>
        <v>0.13680720293293075</v>
      </c>
      <c r="J16" s="16">
        <f>('R0031_Gen2'!J15/'R0031_Gen2'!$J$24)*100</f>
        <v>7.313343527690977E-2</v>
      </c>
      <c r="K16" s="16">
        <f>('R0031_Gen2'!K15/'R0031_Gen2'!$K$24)*100</f>
        <v>8.0983090136408226E-2</v>
      </c>
      <c r="L16" s="16">
        <f>('R0031_Gen2'!L15/'R0031_Gen2'!$L$24)*100</f>
        <v>2.5905687107872902E-2</v>
      </c>
      <c r="M16" s="16">
        <f>('R0031_Gen2'!M15/'R0031_Gen2'!$M$24)*100</f>
        <v>6.7624907181499952E-2</v>
      </c>
      <c r="N16" s="16">
        <f>('R0031_Gen2'!N15/'R0031_Gen2'!$N$24)*100</f>
        <v>6.4532916991933392E-2</v>
      </c>
      <c r="O16" s="16">
        <f>('R0031_Gen2'!O15/'R0031_Gen2'!$O$24)*100</f>
        <v>0.73933840414925678</v>
      </c>
      <c r="P16" s="16">
        <f>('R0031_Gen2'!P15/'R0031_Gen2'!$P$24)*100</f>
        <v>0.10206059040113688</v>
      </c>
      <c r="Q16" s="25">
        <f>('R0031_Gen2'!Q15/'R0031_Gen2'!$Q$24)*100</f>
        <v>0</v>
      </c>
      <c r="R16" s="16">
        <f>('R0031_Gen2'!R15/'R0031_Gen2'!$R$24)*100</f>
        <v>6.3620968722809035E-2</v>
      </c>
      <c r="S16" s="16">
        <f>('R0031_Gen2'!S15/'R0031_Gen2'!$S$24)*100</f>
        <v>1.5141259040222305E-2</v>
      </c>
      <c r="T16" s="16">
        <f>('R0031_Gen2'!T15/'R0031_Gen2'!$T$24)*100</f>
        <v>0</v>
      </c>
      <c r="U16" s="16">
        <f>('R0031_Gen2'!U15/'R0031_Gen2'!$U$24)*100</f>
        <v>8.4778152253222591E-2</v>
      </c>
      <c r="V16" s="16">
        <f>('R0031_Gen2'!V15/'R0031_Gen2'!$V$24)*100</f>
        <v>0</v>
      </c>
      <c r="W16" s="16">
        <f>('R0031_Gen2'!W15/'R0031_Gen2'!$W$24)*100</f>
        <v>0</v>
      </c>
      <c r="X16" s="16">
        <f>('R0031_Gen2'!X15/'R0031_Gen2'!$X$24)*100</f>
        <v>0</v>
      </c>
      <c r="Y16" s="16">
        <f>('R0031_Gen2'!Y15/'R0031_Gen2'!$Y$24)*100</f>
        <v>0</v>
      </c>
    </row>
    <row r="17" spans="1:25" s="20" customFormat="1" x14ac:dyDescent="0.25">
      <c r="A17" s="12" t="s">
        <v>18</v>
      </c>
      <c r="B17" s="19">
        <f>('R0031_Gen2'!B27/'R0031_Gen2'!$B$24)*100</f>
        <v>23.860752354633128</v>
      </c>
      <c r="C17" s="19">
        <f>('R0031_Gen2'!C27/'R0031_Gen2'!$C$24)*100</f>
        <v>22.199194409061178</v>
      </c>
      <c r="D17" s="19">
        <f>('R0031_Gen2'!D27/'R0031_Gen2'!D24)*100</f>
        <v>23.073181488014939</v>
      </c>
      <c r="E17" s="19">
        <f>('R0031_Gen2'!E27/'R0031_Gen2'!E24)*100</f>
        <v>23.584175865571538</v>
      </c>
      <c r="F17" s="19">
        <f>('R0031_Gen2'!F27/'R0031_Gen2'!F24)*100</f>
        <v>28.009905508429078</v>
      </c>
      <c r="G17" s="19">
        <f>('R0031_Gen2'!G27/'R0031_Gen2'!G24)*100</f>
        <v>26.072331336829933</v>
      </c>
      <c r="H17" s="19">
        <f>('R0031_Gen2'!H27/'R0031_Gen2'!H24)*100</f>
        <v>27.812721260990021</v>
      </c>
      <c r="I17" s="19">
        <f>('R0031_Gen2'!I27/'R0031_Gen2'!I24)*100</f>
        <v>27.561596937675219</v>
      </c>
      <c r="J17" s="19">
        <f>('R0031_Gen2'!J27/'R0031_Gen2'!J24)*100</f>
        <v>33.078917625157899</v>
      </c>
      <c r="K17" s="19">
        <f>('R0031_Gen2'!K27/'R0031_Gen2'!K24)*100</f>
        <v>29.852298731017267</v>
      </c>
      <c r="L17" s="19">
        <f>('R0031_Gen2'!L27/'R0031_Gen2'!L24)*100</f>
        <v>29.932402347702897</v>
      </c>
      <c r="M17" s="19">
        <f>('R0031_Gen2'!M27/'R0031_Gen2'!M24)*100</f>
        <v>30.652646653230086</v>
      </c>
      <c r="N17" s="19">
        <f>('R0031_Gen2'!N27/'R0031_Gen2'!N24)*100</f>
        <v>32.702576112412167</v>
      </c>
      <c r="O17" s="19">
        <f>('R0031_Gen2'!O27/'R0031_Gen2'!O24)*100</f>
        <v>35.214912231569748</v>
      </c>
      <c r="P17" s="19">
        <f>('R0031_Gen2'!P27/'R0031_Gen2'!P24)*100</f>
        <v>32.052838963891226</v>
      </c>
      <c r="Q17" s="19">
        <f>('R0031_Gen2'!Q27/'R0031_Gen2'!Q24)*100</f>
        <v>31.989599555442737</v>
      </c>
      <c r="R17" s="19">
        <f>('R0031_Gen2'!R27/'R0031_Gen2'!R24)*100</f>
        <v>47.834548057221447</v>
      </c>
      <c r="S17" s="19">
        <f>('R0031_Gen2'!S27/'R0031_Gen2'!S24)*100</f>
        <v>41.946631515194696</v>
      </c>
      <c r="T17" s="19">
        <f>('R0031_Gen2'!T27/'R0031_Gen2'!T24)*100</f>
        <v>46.002566902896135</v>
      </c>
      <c r="U17" s="19">
        <f>('R0031_Gen2'!U27/'R0031_Gen2'!U24)*100</f>
        <v>45.533511691741083</v>
      </c>
      <c r="V17" s="19">
        <f>('R0031_Gen2'!V27/'R0031_Gen2'!V24)*100</f>
        <v>58.243881322099391</v>
      </c>
      <c r="W17" s="19">
        <f>('R0031_Gen2'!W27/'R0031_Gen2'!W24)*100</f>
        <v>58.416086963953028</v>
      </c>
      <c r="X17" s="19">
        <f>('R0031_Gen2'!X27/'R0031_Gen2'!X24)*100</f>
        <v>51.596535994719261</v>
      </c>
      <c r="Y17" s="19">
        <f>('R0031_Gen2'!Y27/'R0031_Gen2'!Y24)*100</f>
        <v>48.938441041215988</v>
      </c>
    </row>
    <row r="18" spans="1:25" x14ac:dyDescent="0.25">
      <c r="A18" s="2" t="s">
        <v>8</v>
      </c>
      <c r="B18" s="16">
        <f>('R0031_Gen2'!B18/'R0031_Gen2'!$B$24)*100</f>
        <v>2.5379279228469907E-2</v>
      </c>
      <c r="C18" s="16">
        <f>('R0031_Gen2'!C18/'R0031_Gen2'!$C$24)*100</f>
        <v>4.4755052156849238E-2</v>
      </c>
      <c r="D18" s="16">
        <f>('R0031_Gen2'!D18/'R0031_Gen2'!$D$24)*100</f>
        <v>0.108955069004877</v>
      </c>
      <c r="E18" s="16">
        <f>('R0031_Gen2'!E18/'R0031_Gen2'!$E$24)*100</f>
        <v>3.9015464923078988E-2</v>
      </c>
      <c r="F18" s="16">
        <f>('R0031_Gen2'!F18/'R0031_Gen2'!$F$24)*100</f>
        <v>2.3488671749167831E-2</v>
      </c>
      <c r="G18" s="16">
        <f>('R0031_Gen2'!G18/'R0031_Gen2'!$G$24)*100</f>
        <v>8.2951776931568036E-2</v>
      </c>
      <c r="H18" s="16">
        <f>('R0031_Gen2'!H18/'R0031_Gen2'!$H$24)*100</f>
        <v>3.0246162518130525E-2</v>
      </c>
      <c r="I18" s="16">
        <f>('R0031_Gen2'!I18/'R0031_Gen2'!$I$24)*100</f>
        <v>8.0871252965279278E-2</v>
      </c>
      <c r="J18" s="16">
        <f>('R0031_Gen2'!J18/'R0031_Gen2'!$J$24)*100</f>
        <v>2.6593976464330829E-2</v>
      </c>
      <c r="K18" s="16">
        <f>('R0031_Gen2'!K18/'R0031_Gen2'!$K$24)*100</f>
        <v>0.20654402805432556</v>
      </c>
      <c r="L18" s="16">
        <f>('R0031_Gen2'!L18/'R0031_Gen2'!$L$24)*100</f>
        <v>0.15543412264723738</v>
      </c>
      <c r="M18" s="16">
        <f>('R0031_Gen2'!M18/'R0031_Gen2'!$M$24)*100</f>
        <v>0.24729500371273999</v>
      </c>
      <c r="N18" s="16">
        <f>('R0031_Gen2'!N18/'R0031_Gen2'!$N$24)*100</f>
        <v>0.24251886546968515</v>
      </c>
      <c r="O18" s="16">
        <f>('R0031_Gen2'!O18/'R0031_Gen2'!$O$24)*100</f>
        <v>1.1526957846508867</v>
      </c>
      <c r="P18" s="16">
        <f>('R0031_Gen2'!P18/'R0031_Gen2'!$P$24)*100</f>
        <v>1.5967960726051289</v>
      </c>
      <c r="Q18" s="16">
        <f>('R0031_Gen2'!Q18/'R0031_Gen2'!$Q$24)*100</f>
        <v>0.69770792313550067</v>
      </c>
      <c r="R18" s="16">
        <f>('R0031_Gen2'!R18/'R0031_Gen2'!$R$24)*100</f>
        <v>5.4966645771544576</v>
      </c>
      <c r="S18" s="16">
        <f>('R0031_Gen2'!S18/'R0031_Gen2'!$S$24)*100</f>
        <v>3.6303395204674196</v>
      </c>
      <c r="T18" s="16">
        <f>('R0031_Gen2'!T18/'R0031_Gen2'!$T$24)*100</f>
        <v>2.7622107251899268</v>
      </c>
      <c r="U18" s="16">
        <f>('R0031_Gen2'!U18/'R0031_Gen2'!$U$24)*100</f>
        <v>1.9436433758382263</v>
      </c>
      <c r="V18" s="16">
        <f>('R0031_Gen2'!V18/'R0031_Gen2'!$V$24)*100</f>
        <v>3.674814215053591</v>
      </c>
      <c r="W18" s="16">
        <f>('R0031_Gen2'!W18/'R0031_Gen2'!$W$24)*100</f>
        <v>3.4252311689199582</v>
      </c>
      <c r="X18" s="16">
        <f>('R0031_Gen2'!X18/'R0031_Gen2'!$X$24)*100</f>
        <v>4.5703983211988053</v>
      </c>
      <c r="Y18" s="16">
        <f>('R0031_Gen2'!Y18/'R0031_Gen2'!$Y$24)*100</f>
        <v>3.3272208930848248</v>
      </c>
    </row>
    <row r="19" spans="1:25" x14ac:dyDescent="0.25">
      <c r="A19" s="2" t="s">
        <v>6</v>
      </c>
      <c r="B19" s="16">
        <f>('R0031_Gen2'!B19/'R0031_Gen2'!$B$24)*100</f>
        <v>23.169871975635889</v>
      </c>
      <c r="C19" s="16">
        <f>('R0031_Gen2'!C19/'R0031_Gen2'!$C$24)*100</f>
        <v>21.536131097875856</v>
      </c>
      <c r="D19" s="16">
        <f>('R0031_Gen2'!D19/'R0031_Gen2'!$D$24)*100</f>
        <v>22.497276123274872</v>
      </c>
      <c r="E19" s="16">
        <f>('R0031_Gen2'!E19/'R0031_Gen2'!$E$24)*100</f>
        <v>23.053431006531724</v>
      </c>
      <c r="F19" s="16">
        <f>('R0031_Gen2'!F19/'R0031_Gen2'!$F$24)*100</f>
        <v>27.143509073338347</v>
      </c>
      <c r="G19" s="16">
        <f>('R0031_Gen2'!G19/'R0031_Gen2'!$G$24)*100</f>
        <v>24.982201291957594</v>
      </c>
      <c r="H19" s="16">
        <f>('R0031_Gen2'!H19/'R0031_Gen2'!$H$24)*100</f>
        <v>26.836595106995809</v>
      </c>
      <c r="I19" s="16">
        <f>('R0031_Gen2'!I19/'R0031_Gen2'!$I$24)*100</f>
        <v>26.114001509596719</v>
      </c>
      <c r="J19" s="16">
        <f>('R0031_Gen2'!J19/'R0031_Gen2'!$J$24)*100</f>
        <v>30.323781663453225</v>
      </c>
      <c r="K19" s="16">
        <f>('R0031_Gen2'!K19/'R0031_Gen2'!$K$24)*100</f>
        <v>27.080299563137096</v>
      </c>
      <c r="L19" s="16">
        <f>('R0031_Gen2'!L19/'R0031_Gen2'!$L$24)*100</f>
        <v>27.539364501113141</v>
      </c>
      <c r="M19" s="16">
        <f>('R0031_Gen2'!M19/'R0031_Gen2'!$M$24)*100</f>
        <v>28.557600509175774</v>
      </c>
      <c r="N19" s="16">
        <f>('R0031_Gen2'!N19/'R0031_Gen2'!$N$24)*100</f>
        <v>27.902159771012229</v>
      </c>
      <c r="O19" s="16">
        <f>('R0031_Gen2'!O19/'R0031_Gen2'!$O$24)*100</f>
        <v>29.458154566534855</v>
      </c>
      <c r="P19" s="16">
        <f>('R0031_Gen2'!P19/'R0031_Gen2'!$P$24)*100</f>
        <v>27.034429300432787</v>
      </c>
      <c r="Q19" s="16">
        <f>('R0031_Gen2'!Q19/'R0031_Gen2'!$Q$24)*100</f>
        <v>28.037979459808042</v>
      </c>
      <c r="R19" s="16">
        <f>('R0031_Gen2'!R19/'R0031_Gen2'!$R$24)*100</f>
        <v>35.006502437244457</v>
      </c>
      <c r="S19" s="16">
        <f>('R0031_Gen2'!S19/'R0031_Gen2'!$S$24)*100</f>
        <v>29.895079981474222</v>
      </c>
      <c r="T19" s="16">
        <f>('R0031_Gen2'!T19/'R0031_Gen2'!$T$24)*100</f>
        <v>33.265307749336351</v>
      </c>
      <c r="U19" s="16">
        <f>('R0031_Gen2'!U19/'R0031_Gen2'!$U$24)*100</f>
        <v>32.780653903616965</v>
      </c>
      <c r="V19" s="16">
        <f>('R0031_Gen2'!V19/'R0031_Gen2'!$V$24)*100</f>
        <v>30.007776112104278</v>
      </c>
      <c r="W19" s="16">
        <f>('R0031_Gen2'!W19/'R0031_Gen2'!$W$24)*100</f>
        <v>28.278667509870616</v>
      </c>
      <c r="X19" s="16">
        <f>('R0031_Gen2'!X19/'R0031_Gen2'!$X$24)*100</f>
        <v>28.936660722554457</v>
      </c>
      <c r="Y19" s="16">
        <f>('R0031_Gen2'!Y19/'R0031_Gen2'!$Y$24)*100</f>
        <v>25.109952294313999</v>
      </c>
    </row>
    <row r="20" spans="1:25" x14ac:dyDescent="0.25">
      <c r="A20" s="2" t="s">
        <v>14</v>
      </c>
      <c r="B20" s="16">
        <f>('R0031_Gen2'!B20/'R0031_Gen2'!$B$24)*100</f>
        <v>0.10292707687101685</v>
      </c>
      <c r="C20" s="16">
        <f>('R0031_Gen2'!C20/'R0031_Gen2'!$C$24)*100</f>
        <v>0.10603504664853512</v>
      </c>
      <c r="D20" s="16">
        <f>('R0031_Gen2'!D20/'R0031_Gen2'!$D$24)*100</f>
        <v>9.7281311611497334E-2</v>
      </c>
      <c r="E20" s="16">
        <f>('R0031_Gen2'!E20/'R0031_Gen2'!$E$24)*100</f>
        <v>9.9556703596822255E-2</v>
      </c>
      <c r="F20" s="16">
        <f>('R0031_Gen2'!F20/'R0031_Gen2'!$F$24)*100</f>
        <v>0.26307312359067969</v>
      </c>
      <c r="G20" s="16">
        <f>('R0031_Gen2'!G20/'R0031_Gen2'!$G$24)*100</f>
        <v>0.26975656592706776</v>
      </c>
      <c r="H20" s="16">
        <f>('R0031_Gen2'!H20/'R0031_Gen2'!$H$24)*100</f>
        <v>0.39732458944271454</v>
      </c>
      <c r="I20" s="16">
        <f>('R0031_Gen2'!I20/'R0031_Gen2'!$I$24)*100</f>
        <v>0.34168104377830494</v>
      </c>
      <c r="J20" s="16">
        <f>('R0031_Gen2'!J20/'R0031_Gen2'!$J$24)*100</f>
        <v>0.79515989628349182</v>
      </c>
      <c r="K20" s="16">
        <f>('R0031_Gen2'!K20/'R0031_Gen2'!$K$24)*100</f>
        <v>0.99780082617611232</v>
      </c>
      <c r="L20" s="16">
        <f>('R0031_Gen2'!L20/'R0031_Gen2'!$L$24)*100</f>
        <v>0.7067395264116576</v>
      </c>
      <c r="M20" s="16">
        <f>('R0031_Gen2'!M20/'R0031_Gen2'!$M$24)*100</f>
        <v>0.70807255754747012</v>
      </c>
      <c r="N20" s="16">
        <f>('R0031_Gen2'!N20/'R0031_Gen2'!$N$24)*100</f>
        <v>2.8769190736403849</v>
      </c>
      <c r="O20" s="16">
        <f>('R0031_Gen2'!O20/'R0031_Gen2'!$O$24)*100</f>
        <v>1.4417098880910508</v>
      </c>
      <c r="P20" s="16">
        <f>('R0031_Gen2'!P20/'R0031_Gen2'!$P$24)*100</f>
        <v>1.4107615787093857</v>
      </c>
      <c r="Q20" s="16">
        <f>('R0031_Gen2'!Q20/'R0031_Gen2'!$Q$24)*100</f>
        <v>1.4983226195948216</v>
      </c>
      <c r="R20" s="16">
        <f>('R0031_Gen2'!R20/'R0031_Gen2'!$R$24)*100</f>
        <v>2.8021294312472511</v>
      </c>
      <c r="S20" s="16">
        <f>('R0031_Gen2'!S20/'R0031_Gen2'!$S$24)*100</f>
        <v>4.2324272328903767</v>
      </c>
      <c r="T20" s="16">
        <f>('R0031_Gen2'!T20/'R0031_Gen2'!$T$24)*100</f>
        <v>5.6942196854348195</v>
      </c>
      <c r="U20" s="16">
        <f>('R0031_Gen2'!U20/'R0031_Gen2'!$U$24)*100</f>
        <v>6.8684201382856731</v>
      </c>
      <c r="V20" s="16">
        <f>('R0031_Gen2'!V20/'R0031_Gen2'!$V$24)*100</f>
        <v>12.691095950810077</v>
      </c>
      <c r="W20" s="16">
        <f>('R0031_Gen2'!W20/'R0031_Gen2'!$W$24)*100</f>
        <v>16.453586750303383</v>
      </c>
      <c r="X20" s="16">
        <f>('R0031_Gen2'!X20/'R0031_Gen2'!$X$24)*100</f>
        <v>10.428468685037586</v>
      </c>
      <c r="Y20" s="16">
        <f>('R0031_Gen2'!Y20/'R0031_Gen2'!$Y$24)*100</f>
        <v>11.34191940174491</v>
      </c>
    </row>
    <row r="21" spans="1:25" x14ac:dyDescent="0.25">
      <c r="A21" s="2" t="s">
        <v>15</v>
      </c>
      <c r="B21" s="16">
        <f>('R0031_Gen2'!B21/'R0031_Gen2'!$B$24)*100</f>
        <v>0.43215272686255707</v>
      </c>
      <c r="C21" s="16">
        <f>('R0031_Gen2'!C21/'R0031_Gen2'!$C$24)*100</f>
        <v>0.36010603504664851</v>
      </c>
      <c r="D21" s="16">
        <f>('R0031_Gen2'!D21/'R0031_Gen2'!$D$24)*100</f>
        <v>0.27303621458960248</v>
      </c>
      <c r="E21" s="16">
        <f>('R0031_Gen2'!E21/'R0031_Gen2'!$E$24)*100</f>
        <v>0.27512629575067771</v>
      </c>
      <c r="F21" s="16">
        <f>('R0031_Gen2'!F21/'R0031_Gen2'!$F$24)*100</f>
        <v>0.55768817781595614</v>
      </c>
      <c r="G21" s="16">
        <f>('R0031_Gen2'!G21/'R0031_Gen2'!$G$24)*100</f>
        <v>0.6616547246588852</v>
      </c>
      <c r="H21" s="16">
        <f>('R0031_Gen2'!H21/'R0031_Gen2'!$H$24)*100</f>
        <v>0.48668825142810018</v>
      </c>
      <c r="I21" s="16">
        <f>('R0031_Gen2'!I21/'R0031_Gen2'!$I$24)*100</f>
        <v>0.90373625188699591</v>
      </c>
      <c r="J21" s="16">
        <f>('R0031_Gen2'!J21/'R0031_Gen2'!$J$24)*100</f>
        <v>1.5358021408151055</v>
      </c>
      <c r="K21" s="16">
        <f>('R0031_Gen2'!K21/'R0031_Gen2'!$K$24)*100</f>
        <v>1.1181610151861869</v>
      </c>
      <c r="L21" s="16">
        <f>('R0031_Gen2'!L21/'R0031_Gen2'!$L$24)*100</f>
        <v>1.3252378061121233</v>
      </c>
      <c r="M21" s="16">
        <f>('R0031_Gen2'!M21/'R0031_Gen2'!$M$24)*100</f>
        <v>0.84928927548530808</v>
      </c>
      <c r="N21" s="16">
        <f>('R0031_Gen2'!N21/'R0031_Gen2'!$N$24)*100</f>
        <v>1.5498308613062712</v>
      </c>
      <c r="O21" s="16">
        <f>('R0031_Gen2'!O21/'R0031_Gen2'!$O$24)*100</f>
        <v>2.2471406647324379</v>
      </c>
      <c r="P21" s="16">
        <f>('R0031_Gen2'!P21/'R0031_Gen2'!$P$24)*100</f>
        <v>1.3319553000452167</v>
      </c>
      <c r="Q21" s="16">
        <f>('R0031_Gen2'!Q21/'R0031_Gen2'!$Q$24)*100</f>
        <v>1.5442876450127945</v>
      </c>
      <c r="R21" s="16">
        <f>('R0031_Gen2'!R21/'R0031_Gen2'!$R$24)*100</f>
        <v>3.8247429432182845</v>
      </c>
      <c r="S21" s="16">
        <f>('R0031_Gen2'!S21/'R0031_Gen2'!$S$24)*100</f>
        <v>3.6374648188392888</v>
      </c>
      <c r="T21" s="16">
        <f>('R0031_Gen2'!T21/'R0031_Gen2'!$T$24)*100</f>
        <v>3.701282654273256</v>
      </c>
      <c r="U21" s="16">
        <f>('R0031_Gen2'!U21/'R0031_Gen2'!$U$24)*100</f>
        <v>3.5843090928042804</v>
      </c>
      <c r="V21" s="16">
        <f>('R0031_Gen2'!V21/'R0031_Gen2'!$V$24)*100</f>
        <v>11.621680121211149</v>
      </c>
      <c r="W21" s="16">
        <f>('R0031_Gen2'!W21/'R0031_Gen2'!$W$24)*100</f>
        <v>10.062898456594937</v>
      </c>
      <c r="X21" s="16">
        <f>('R0031_Gen2'!X21/'R0031_Gen2'!$X$24)*100</f>
        <v>7.4511581166688003</v>
      </c>
      <c r="Y21" s="16">
        <f>('R0031_Gen2'!Y21/'R0031_Gen2'!$Y$24)*100</f>
        <v>9.1349941979571092</v>
      </c>
    </row>
    <row r="22" spans="1:25" x14ac:dyDescent="0.25">
      <c r="A22" s="2" t="s">
        <v>16</v>
      </c>
      <c r="B22" s="16">
        <f>('R0031_Gen2'!B22/'R0031_Gen2'!$B$24)*100</f>
        <v>0.13042129603519259</v>
      </c>
      <c r="C22" s="16">
        <f>('R0031_Gen2'!C22/'R0031_Gen2'!$C$24)*100</f>
        <v>0.15216717733328744</v>
      </c>
      <c r="D22" s="16">
        <f>('R0031_Gen2'!D22/'R0031_Gen2'!$D$24)*100</f>
        <v>9.6632769534087351E-2</v>
      </c>
      <c r="E22" s="16">
        <f>('R0031_Gen2'!E22/'R0031_Gen2'!$E$24)*100</f>
        <v>0.11704639476923695</v>
      </c>
      <c r="F22" s="16">
        <f>('R0031_Gen2'!F22/'R0031_Gen2'!$F$24)*100</f>
        <v>2.2146461934929668E-2</v>
      </c>
      <c r="G22" s="16">
        <f>('R0031_Gen2'!G22/'R0031_Gen2'!$G$24)*100</f>
        <v>7.5766977354818049E-2</v>
      </c>
      <c r="H22" s="16">
        <f>('R0031_Gen2'!H22/'R0031_Gen2'!$H$24)*100</f>
        <v>6.1867150605266971E-2</v>
      </c>
      <c r="I22" s="16">
        <f>('R0031_Gen2'!I22/'R0031_Gen2'!$I$24)*100</f>
        <v>0.12130687944791892</v>
      </c>
      <c r="J22" s="16">
        <f>('R0031_Gen2'!J22/'R0031_Gen2'!$J$24)*100</f>
        <v>0.39757994814174591</v>
      </c>
      <c r="K22" s="16">
        <f>('R0031_Gen2'!K22/'R0031_Gen2'!$K$24)*100</f>
        <v>0.44949329846355024</v>
      </c>
      <c r="L22" s="16">
        <f>('R0031_Gen2'!L22/'R0031_Gen2'!$L$24)*100</f>
        <v>0.20562639141874114</v>
      </c>
      <c r="M22" s="16">
        <f>('R0031_Gen2'!M22/'R0031_Gen2'!$M$24)*100</f>
        <v>0.29038930730879386</v>
      </c>
      <c r="N22" s="16">
        <f>('R0031_Gen2'!N22/'R0031_Gen2'!$N$24)*100</f>
        <v>0.13114754098360656</v>
      </c>
      <c r="O22" s="16">
        <f>('R0031_Gen2'!O22/'R0031_Gen2'!$O$24)*100</f>
        <v>0.91521132756051926</v>
      </c>
      <c r="P22" s="16">
        <f>('R0031_Gen2'!P22/'R0031_Gen2'!$P$24)*100</f>
        <v>0.6788967120987015</v>
      </c>
      <c r="Q22" s="16">
        <f>('R0031_Gen2'!Q22/'R0031_Gen2'!$Q$24)*100</f>
        <v>0.21130190789157738</v>
      </c>
      <c r="R22" s="16">
        <f>('R0031_Gen2'!R22/'R0031_Gen2'!$R$24)*100</f>
        <v>0.70450866835698844</v>
      </c>
      <c r="S22" s="16">
        <f>('R0031_Gen2'!S22/'R0031_Gen2'!$S$24)*100</f>
        <v>0.55131996152338869</v>
      </c>
      <c r="T22" s="16">
        <f>('R0031_Gen2'!T22/'R0031_Gen2'!$T$24)*100</f>
        <v>0.5795460886617827</v>
      </c>
      <c r="U22" s="16">
        <f>('R0031_Gen2'!U22/'R0031_Gen2'!$U$24)*100</f>
        <v>0.35648518119592781</v>
      </c>
      <c r="V22" s="16">
        <f>('R0031_Gen2'!V22/'R0031_Gen2'!$V$24)*100</f>
        <v>0.24851492292029081</v>
      </c>
      <c r="W22" s="16">
        <f>('R0031_Gen2'!W22/'R0031_Gen2'!$W$24)*100</f>
        <v>0.19570307826413932</v>
      </c>
      <c r="X22" s="16">
        <f>('R0031_Gen2'!X22/'R0031_Gen2'!$X$24)*100</f>
        <v>0.20985014925961318</v>
      </c>
      <c r="Y22" s="16">
        <f>('R0031_Gen2'!Y22/'R0031_Gen2'!$Y$24)*100</f>
        <v>2.4354254115152643E-2</v>
      </c>
    </row>
    <row r="24" spans="1:25" x14ac:dyDescent="0.25">
      <c r="B24" s="25"/>
      <c r="C24" t="s">
        <v>21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112C-476A-4D3B-AD8F-2FB5CDE6FCB4}">
  <sheetPr codeName="Sheet13"/>
  <dimension ref="A1:M22"/>
  <sheetViews>
    <sheetView workbookViewId="0">
      <selection activeCell="M3" sqref="M3"/>
    </sheetView>
  </sheetViews>
  <sheetFormatPr defaultRowHeight="15" x14ac:dyDescent="0.25"/>
  <cols>
    <col min="1" max="1" width="14.140625" style="2" bestFit="1" customWidth="1"/>
    <col min="2" max="3" width="8.85546875" style="16"/>
  </cols>
  <sheetData>
    <row r="1" spans="1:13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</row>
    <row r="2" spans="1:13" x14ac:dyDescent="0.25">
      <c r="B2" s="16" t="s">
        <v>26</v>
      </c>
      <c r="C2" s="16" t="s">
        <v>27</v>
      </c>
      <c r="D2" t="s">
        <v>26</v>
      </c>
      <c r="E2" t="s">
        <v>27</v>
      </c>
      <c r="F2" t="s">
        <v>26</v>
      </c>
      <c r="G2" t="s">
        <v>27</v>
      </c>
      <c r="H2" t="s">
        <v>26</v>
      </c>
      <c r="I2" t="s">
        <v>27</v>
      </c>
      <c r="J2" t="s">
        <v>26</v>
      </c>
      <c r="K2" t="s">
        <v>27</v>
      </c>
      <c r="L2" t="s">
        <v>26</v>
      </c>
      <c r="M2" t="s">
        <v>27</v>
      </c>
    </row>
    <row r="3" spans="1:13" s="9" customFormat="1" x14ac:dyDescent="0.25">
      <c r="A3" s="13" t="s">
        <v>19</v>
      </c>
      <c r="B3" s="21">
        <f>AVERAGE('R0031_Gen2_100%'!B3:E3)</f>
        <v>100</v>
      </c>
      <c r="C3" s="21">
        <f>_xlfn.STDEV.P('R0031_Gen2_100%'!B3:E3)</f>
        <v>0</v>
      </c>
      <c r="D3" s="21">
        <f>AVERAGE('R0031_Gen2_100%'!F3:I3)</f>
        <v>100</v>
      </c>
      <c r="E3" s="21">
        <f>_xlfn.STDEV.P('R0031_Gen2_100%'!F3:I3)</f>
        <v>0</v>
      </c>
      <c r="F3" s="21">
        <f>AVERAGE('R0031_Gen2_100%'!J3:M3)</f>
        <v>100</v>
      </c>
      <c r="G3" s="21">
        <f>_xlfn.STDEV.P('R0031_Gen2_100%'!J3:M3)</f>
        <v>0</v>
      </c>
      <c r="H3" s="21">
        <f>AVERAGE('R0031_Gen2_100%'!N3:Q3)</f>
        <v>100</v>
      </c>
      <c r="I3" s="21">
        <f>_xlfn.STDEV.P('R0031_Gen2_100%'!N3:Q3)</f>
        <v>0</v>
      </c>
      <c r="J3" s="21">
        <f>AVERAGE('R0031_Gen2_100%'!R3:U3)</f>
        <v>100</v>
      </c>
      <c r="K3" s="21">
        <f>_xlfn.STDEV.P('R0031_Gen2_100%'!R3:U3)</f>
        <v>0</v>
      </c>
      <c r="L3" s="21">
        <f>AVERAGE('R0031_Gen2_100%'!V3:Y3)</f>
        <v>100</v>
      </c>
      <c r="M3" s="21">
        <f>_xlfn.STDEV.P('R0031_Gen2_100%'!V3:Y3)</f>
        <v>0</v>
      </c>
    </row>
    <row r="4" spans="1:13" s="24" customFormat="1" x14ac:dyDescent="0.25">
      <c r="A4" s="22" t="s">
        <v>12</v>
      </c>
      <c r="B4" s="23">
        <f>AVERAGE('R0031_Gen2_100%'!B4:E4)</f>
        <v>4.7392083137097654</v>
      </c>
      <c r="C4" s="23">
        <f>_xlfn.STDEV.P('R0031_Gen2_100%'!B4:E4)</f>
        <v>0.29510277191846102</v>
      </c>
      <c r="D4" s="23">
        <f>AVERAGE('R0031_Gen2_100%'!F4:I4)</f>
        <v>5.6849330168408621</v>
      </c>
      <c r="E4" s="23">
        <f>_xlfn.STDEV.P('R0031_Gen2_100%'!F4:I4)</f>
        <v>0.4687633449921102</v>
      </c>
      <c r="F4" s="23">
        <f>AVERAGE('R0031_Gen2_100%'!J4:M4)</f>
        <v>5.3040154596703335</v>
      </c>
      <c r="G4" s="23">
        <f>_xlfn.STDEV.P('R0031_Gen2_100%'!J4:M4)</f>
        <v>0.62803278532997087</v>
      </c>
      <c r="H4" s="23">
        <f>AVERAGE('R0031_Gen2_100%'!N4:Q4)</f>
        <v>4.7522074505994896</v>
      </c>
      <c r="I4" s="23">
        <f>_xlfn.STDEV.P('R0031_Gen2_100%'!N4:Q4)</f>
        <v>1.0711348487677168</v>
      </c>
      <c r="J4" s="23">
        <f>AVERAGE('R0031_Gen2_100%'!R4:U4)</f>
        <v>4.3405810064726325</v>
      </c>
      <c r="K4" s="23">
        <f>_xlfn.STDEV.P('R0031_Gen2_100%'!R4:U4)</f>
        <v>1.0125166669289913</v>
      </c>
      <c r="L4" s="23">
        <f>AVERAGE('R0031_Gen2_100%'!V4:Y4)</f>
        <v>5.5775197928115166</v>
      </c>
      <c r="M4" s="23">
        <f>_xlfn.STDEV.P('R0031_Gen2_100%'!V4:Y4)</f>
        <v>1.0655665038502633</v>
      </c>
    </row>
    <row r="5" spans="1:13" x14ac:dyDescent="0.25">
      <c r="A5" s="2" t="s">
        <v>8</v>
      </c>
      <c r="B5" s="16">
        <f>AVERAGE('R0031_Gen2_100%'!B5:E5)</f>
        <v>0.25804085361554974</v>
      </c>
      <c r="C5" s="16">
        <f>_xlfn.STDEV.P('R0031_Gen2_100%'!B5:E5)</f>
        <v>0.19106062470998814</v>
      </c>
      <c r="D5" s="16">
        <f>AVERAGE('R0031_Gen2_100%'!F5:I5)</f>
        <v>0.28842433149774471</v>
      </c>
      <c r="E5" s="16">
        <f>_xlfn.STDEV.P('R0031_Gen2_100%'!F5:I5)</f>
        <v>0.15531164127432442</v>
      </c>
      <c r="F5" s="16">
        <f>AVERAGE('R0031_Gen2_100%'!J5:M5)</f>
        <v>0.18088411597526188</v>
      </c>
      <c r="G5" s="16">
        <f>_xlfn.STDEV.P('R0031_Gen2_100%'!J5:M5)</f>
        <v>0.12991728856019696</v>
      </c>
      <c r="H5" s="16">
        <f>AVERAGE('R0031_Gen2_100%'!N5:Q5)</f>
        <v>0.33374710622246262</v>
      </c>
      <c r="I5" s="16">
        <f>_xlfn.STDEV.P('R0031_Gen2_100%'!N5:Q5)</f>
        <v>0.16828271672292772</v>
      </c>
      <c r="J5" s="16">
        <f>AVERAGE('R0031_Gen2_100%'!R5:U5)</f>
        <v>0.10231552726222731</v>
      </c>
      <c r="K5" s="16">
        <f>_xlfn.STDEV.P('R0031_Gen2_100%'!R5:U5)</f>
        <v>0.1081753569887389</v>
      </c>
      <c r="L5" s="16">
        <f>AVERAGE('R0031_Gen2_100%'!V5:Y5)</f>
        <v>0.31642622809907883</v>
      </c>
      <c r="M5" s="16">
        <f>_xlfn.STDEV.P('R0031_Gen2_100%'!V5:Y5)</f>
        <v>0.54806630391498323</v>
      </c>
    </row>
    <row r="6" spans="1:13" x14ac:dyDescent="0.25">
      <c r="A6" s="2" t="s">
        <v>6</v>
      </c>
      <c r="B6" s="16">
        <f>AVERAGE('R0031_Gen2_100%'!B6:E6)</f>
        <v>0.76296025495572994</v>
      </c>
      <c r="C6" s="16">
        <f>_xlfn.STDEV.P('R0031_Gen2_100%'!B6:E6)</f>
        <v>0.47462107161223116</v>
      </c>
      <c r="D6" s="16">
        <f>AVERAGE('R0031_Gen2_100%'!F6:I6)</f>
        <v>0.31143292313249071</v>
      </c>
      <c r="E6" s="16">
        <f>_xlfn.STDEV.P('R0031_Gen2_100%'!F6:I6)</f>
        <v>7.415634767751636E-2</v>
      </c>
      <c r="F6" s="16">
        <f>AVERAGE('R0031_Gen2_100%'!J6:M6)</f>
        <v>0.31780359626180799</v>
      </c>
      <c r="G6" s="16">
        <f>_xlfn.STDEV.P('R0031_Gen2_100%'!J6:M6)</f>
        <v>0.11561582818462403</v>
      </c>
      <c r="H6" s="16">
        <f>AVERAGE('R0031_Gen2_100%'!N6:Q6)</f>
        <v>0.42788735160272651</v>
      </c>
      <c r="I6" s="16">
        <f>_xlfn.STDEV.P('R0031_Gen2_100%'!N6:Q6)</f>
        <v>0.18001119740783519</v>
      </c>
      <c r="J6" s="16">
        <f>AVERAGE('R0031_Gen2_100%'!R6:U6)</f>
        <v>0.1095065347887432</v>
      </c>
      <c r="K6" s="16">
        <f>_xlfn.STDEV.P('R0031_Gen2_100%'!R6:U6)</f>
        <v>0.11325764128703034</v>
      </c>
      <c r="L6" s="16">
        <f>AVERAGE('R0031_Gen2_100%'!V6:Y6)</f>
        <v>0.46836374092636524</v>
      </c>
      <c r="M6" s="16">
        <f>_xlfn.STDEV.P('R0031_Gen2_100%'!V6:Y6)</f>
        <v>0.47026573829141155</v>
      </c>
    </row>
    <row r="7" spans="1:13" x14ac:dyDescent="0.25">
      <c r="A7" s="2" t="s">
        <v>14</v>
      </c>
      <c r="B7" s="16">
        <f>AVERAGE('R0031_Gen2_100%'!B7:E7)</f>
        <v>0.13718302728842935</v>
      </c>
      <c r="C7" s="16">
        <f>_xlfn.STDEV.P('R0031_Gen2_100%'!B7:E7)</f>
        <v>2.4358583258043652E-2</v>
      </c>
      <c r="D7" s="16">
        <f>AVERAGE('R0031_Gen2_100%'!F7:I7)</f>
        <v>0.17821290719126046</v>
      </c>
      <c r="E7" s="16">
        <f>_xlfn.STDEV.P('R0031_Gen2_100%'!F7:I7)</f>
        <v>6.4187564331248087E-2</v>
      </c>
      <c r="F7" s="16">
        <f>AVERAGE('R0031_Gen2_100%'!J7:M7)</f>
        <v>0.22546241299404945</v>
      </c>
      <c r="G7" s="16">
        <f>_xlfn.STDEV.P('R0031_Gen2_100%'!J7:M7)</f>
        <v>8.7601457634672128E-2</v>
      </c>
      <c r="H7" s="16">
        <f>AVERAGE('R0031_Gen2_100%'!N7:Q7)</f>
        <v>0.11788051059234836</v>
      </c>
      <c r="I7" s="16">
        <f>_xlfn.STDEV.P('R0031_Gen2_100%'!N7:Q7)</f>
        <v>9.3948709301001479E-2</v>
      </c>
      <c r="J7" s="16">
        <f>AVERAGE('R0031_Gen2_100%'!R7:U7)</f>
        <v>0.71135946308648146</v>
      </c>
      <c r="K7" s="16">
        <f>_xlfn.STDEV.P('R0031_Gen2_100%'!R7:U7)</f>
        <v>1.0038701590064107</v>
      </c>
      <c r="L7" s="16">
        <f>AVERAGE('R0031_Gen2_100%'!V7:Y7)</f>
        <v>0.99350310549145704</v>
      </c>
      <c r="M7" s="16">
        <f>_xlfn.STDEV.P('R0031_Gen2_100%'!V7:Y7)</f>
        <v>0.49488748456324938</v>
      </c>
    </row>
    <row r="8" spans="1:13" x14ac:dyDescent="0.25">
      <c r="A8" s="2" t="s">
        <v>15</v>
      </c>
      <c r="B8" s="16">
        <f>AVERAGE('R0031_Gen2_100%'!B8:E8)</f>
        <v>0.48622486994561087</v>
      </c>
      <c r="C8" s="16">
        <f>_xlfn.STDEV.P('R0031_Gen2_100%'!B8:E8)</f>
        <v>7.1036546462129257E-2</v>
      </c>
      <c r="D8" s="16">
        <f>AVERAGE('R0031_Gen2_100%'!F8:I8)</f>
        <v>0.61135729951005657</v>
      </c>
      <c r="E8" s="16">
        <f>_xlfn.STDEV.P('R0031_Gen2_100%'!F8:I8)</f>
        <v>7.0357741098795085E-2</v>
      </c>
      <c r="F8" s="16">
        <f>AVERAGE('R0031_Gen2_100%'!J8:M8)</f>
        <v>0.59894933553545959</v>
      </c>
      <c r="G8" s="16">
        <f>_xlfn.STDEV.P('R0031_Gen2_100%'!J8:M8)</f>
        <v>0.1630979945949306</v>
      </c>
      <c r="H8" s="16">
        <f>AVERAGE('R0031_Gen2_100%'!N8:Q8)</f>
        <v>0.56540603045500926</v>
      </c>
      <c r="I8" s="16">
        <f>_xlfn.STDEV.P('R0031_Gen2_100%'!N8:Q8)</f>
        <v>0.37727075590915654</v>
      </c>
      <c r="J8" s="16">
        <f>AVERAGE('R0031_Gen2_100%'!R8:U8)</f>
        <v>0.13685771877327343</v>
      </c>
      <c r="K8" s="16">
        <f>_xlfn.STDEV.P('R0031_Gen2_100%'!R8:U8)</f>
        <v>8.5762430480006369E-2</v>
      </c>
      <c r="L8" s="16">
        <f>AVERAGE('R0031_Gen2_100%'!V8:Y8)</f>
        <v>0.62326900431526522</v>
      </c>
      <c r="M8" s="16">
        <f>_xlfn.STDEV.P('R0031_Gen2_100%'!V8:Y8)</f>
        <v>0.5496503068820795</v>
      </c>
    </row>
    <row r="9" spans="1:13" x14ac:dyDescent="0.25">
      <c r="A9" s="2" t="s">
        <v>16</v>
      </c>
      <c r="B9" s="16">
        <f>AVERAGE('R0031_Gen2_100%'!B9:E9)</f>
        <v>3.0947993079044456</v>
      </c>
      <c r="C9" s="16">
        <f>_xlfn.STDEV.P('R0031_Gen2_100%'!B9:E9)</f>
        <v>0.1720942437559469</v>
      </c>
      <c r="D9" s="16">
        <f>AVERAGE('R0031_Gen2_100%'!F9:I9)</f>
        <v>4.2955055555093091</v>
      </c>
      <c r="E9" s="16">
        <f>_xlfn.STDEV.P('R0031_Gen2_100%'!F9:I9)</f>
        <v>0.28396275814958283</v>
      </c>
      <c r="F9" s="16">
        <f>AVERAGE('R0031_Gen2_100%'!J9:M9)</f>
        <v>3.9809159989037561</v>
      </c>
      <c r="G9" s="16">
        <f>_xlfn.STDEV.P('R0031_Gen2_100%'!J9:M9)</f>
        <v>0.54037090823940337</v>
      </c>
      <c r="H9" s="16">
        <f>AVERAGE('R0031_Gen2_100%'!N9:Q9)</f>
        <v>3.3072864517269434</v>
      </c>
      <c r="I9" s="16">
        <f>_xlfn.STDEV.P('R0031_Gen2_100%'!N9:Q9)</f>
        <v>0.58783961468399859</v>
      </c>
      <c r="J9" s="16">
        <f>AVERAGE('R0031_Gen2_100%'!R9:U9)</f>
        <v>3.2805417625619069</v>
      </c>
      <c r="K9" s="16">
        <f>_xlfn.STDEV.P('R0031_Gen2_100%'!R9:U9)</f>
        <v>0.36065597720946863</v>
      </c>
      <c r="L9" s="16">
        <f>AVERAGE('R0031_Gen2_100%'!V9:Y9)</f>
        <v>3.1759577139793502</v>
      </c>
      <c r="M9" s="16">
        <f>_xlfn.STDEV.P('R0031_Gen2_100%'!V9:Y9)</f>
        <v>0.55835359207425661</v>
      </c>
    </row>
    <row r="10" spans="1:13" s="10" customFormat="1" x14ac:dyDescent="0.25">
      <c r="A10" s="14" t="s">
        <v>20</v>
      </c>
      <c r="B10" s="18">
        <f>AVERAGE('R0031_Gen2_100%'!B10:E10)</f>
        <v>95.260791686290247</v>
      </c>
      <c r="C10" s="18">
        <f>_xlfn.STDEV.P('R0031_Gen2_100%'!B10:E10)</f>
        <v>0.29510277191845763</v>
      </c>
      <c r="D10" s="18">
        <f>AVERAGE('R0031_Gen2_100%'!F10:I10)</f>
        <v>94.315066983159142</v>
      </c>
      <c r="E10" s="18">
        <f>_xlfn.STDEV.P('R0031_Gen2_100%'!F10:I10)</f>
        <v>0.46876334499210021</v>
      </c>
      <c r="F10" s="18">
        <f>AVERAGE('R0031_Gen2_100%'!J10:M10)</f>
        <v>94.695984540329675</v>
      </c>
      <c r="G10" s="18">
        <f>_xlfn.STDEV.P('R0031_Gen2_100%'!J10:M10)</f>
        <v>0.6280327853299591</v>
      </c>
      <c r="H10" s="18">
        <f>AVERAGE('R0031_Gen2_100%'!N10:Q10)</f>
        <v>95.247792549400515</v>
      </c>
      <c r="I10" s="18">
        <f>_xlfn.STDEV.P('R0031_Gen2_100%'!N10:Q10)</f>
        <v>1.0711348487677237</v>
      </c>
      <c r="J10" s="18">
        <f>AVERAGE('R0031_Gen2_100%'!R10:U10)</f>
        <v>95.659418993527353</v>
      </c>
      <c r="K10" s="18">
        <f>_xlfn.STDEV.P('R0031_Gen2_100%'!R10:U10)</f>
        <v>1.0125166669289924</v>
      </c>
      <c r="L10" s="18">
        <f>AVERAGE('R0031_Gen2_100%'!V10:Y10)</f>
        <v>94.422480207188485</v>
      </c>
      <c r="M10" s="18">
        <f>_xlfn.STDEV.P('R0031_Gen2_100%'!V10:Y10)</f>
        <v>1.0655665038502586</v>
      </c>
    </row>
    <row r="11" spans="1:13" s="11" customFormat="1" x14ac:dyDescent="0.25">
      <c r="A11" s="15" t="s">
        <v>17</v>
      </c>
      <c r="B11" s="17">
        <f>AVERAGE('R0031_Gen2_100%'!B11:E11)</f>
        <v>72.081465656970039</v>
      </c>
      <c r="C11" s="17">
        <f>_xlfn.STDEV.P('R0031_Gen2_100%'!B11:E11)</f>
        <v>0.61983758497214192</v>
      </c>
      <c r="D11" s="17">
        <f>AVERAGE('R0031_Gen2_100%'!F11:I11)</f>
        <v>66.950928222178078</v>
      </c>
      <c r="E11" s="17">
        <f>_xlfn.STDEV.P('R0031_Gen2_100%'!F11:I11)</f>
        <v>0.71224644336795462</v>
      </c>
      <c r="F11" s="17">
        <f>AVERAGE('R0031_Gen2_100%'!J11:M11)</f>
        <v>63.81691820105263</v>
      </c>
      <c r="G11" s="17">
        <f>_xlfn.STDEV.P('R0031_Gen2_100%'!J11:M11)</f>
        <v>1.0383090098105487</v>
      </c>
      <c r="H11" s="17">
        <f>AVERAGE('R0031_Gen2_100%'!N11:Q11)</f>
        <v>62.25781083357154</v>
      </c>
      <c r="I11" s="17">
        <f>_xlfn.STDEV.P('R0031_Gen2_100%'!N11:Q11)</f>
        <v>1.3516765355006135</v>
      </c>
      <c r="J11" s="17">
        <f>AVERAGE('R0031_Gen2_100%'!R11:U11)</f>
        <v>50.330104451764029</v>
      </c>
      <c r="K11" s="17">
        <f>_xlfn.STDEV.P('R0031_Gen2_100%'!R11:U11)</f>
        <v>2.0405480072509428</v>
      </c>
      <c r="L11" s="17">
        <f>AVERAGE('R0031_Gen2_100%'!V11:Y11)</f>
        <v>40.123743876691563</v>
      </c>
      <c r="M11" s="17">
        <f>_xlfn.STDEV.P('R0031_Gen2_100%'!V11:Y11)</f>
        <v>3.5710333591113144</v>
      </c>
    </row>
    <row r="12" spans="1:13" x14ac:dyDescent="0.25">
      <c r="A12" s="2" t="s">
        <v>8</v>
      </c>
      <c r="B12" s="16">
        <f>AVERAGE('R0031_Gen2_100%'!B12:E12)</f>
        <v>70.141538795423912</v>
      </c>
      <c r="C12" s="16">
        <f>_xlfn.STDEV.P('R0031_Gen2_100%'!B12:E12)</f>
        <v>0.23875040937602132</v>
      </c>
      <c r="D12" s="16">
        <f>AVERAGE('R0031_Gen2_100%'!F12:I12)</f>
        <v>64.63696014372789</v>
      </c>
      <c r="E12" s="16">
        <f>_xlfn.STDEV.P('R0031_Gen2_100%'!F12:I12)</f>
        <v>0.47153748093540448</v>
      </c>
      <c r="F12" s="16">
        <f>AVERAGE('R0031_Gen2_100%'!J12:M12)</f>
        <v>61.351236787289466</v>
      </c>
      <c r="G12" s="16">
        <f>_xlfn.STDEV.P('R0031_Gen2_100%'!J12:M12)</f>
        <v>1.2207371808567071</v>
      </c>
      <c r="H12" s="16">
        <f>AVERAGE('R0031_Gen2_100%'!N12:Q12)</f>
        <v>57.690441252479737</v>
      </c>
      <c r="I12" s="16">
        <f>_xlfn.STDEV.P('R0031_Gen2_100%'!N12:Q12)</f>
        <v>2.0732507926927268</v>
      </c>
      <c r="J12" s="16">
        <f>AVERAGE('R0031_Gen2_100%'!R12:U12)</f>
        <v>46.495061413979613</v>
      </c>
      <c r="K12" s="16">
        <f>_xlfn.STDEV.P('R0031_Gen2_100%'!R12:U12)</f>
        <v>1.5580431145449443</v>
      </c>
      <c r="L12" s="16">
        <f>AVERAGE('R0031_Gen2_100%'!V12:Y12)</f>
        <v>33.065153418429716</v>
      </c>
      <c r="M12" s="16">
        <f>_xlfn.STDEV.P('R0031_Gen2_100%'!V12:Y12)</f>
        <v>2.3996833047293982</v>
      </c>
    </row>
    <row r="13" spans="1:13" x14ac:dyDescent="0.25">
      <c r="A13" s="2" t="s">
        <v>6</v>
      </c>
      <c r="B13" s="16">
        <f>AVERAGE('R0031_Gen2_100%'!B13:E13)</f>
        <v>1.2188933233604462</v>
      </c>
      <c r="C13" s="16">
        <f>_xlfn.STDEV.P('R0031_Gen2_100%'!B13:E13)</f>
        <v>0.26575943741525043</v>
      </c>
      <c r="D13" s="16">
        <f>AVERAGE('R0031_Gen2_100%'!F13:I13)</f>
        <v>1.4384121376392462</v>
      </c>
      <c r="E13" s="16">
        <f>_xlfn.STDEV.P('R0031_Gen2_100%'!F13:I13)</f>
        <v>0.349872283768975</v>
      </c>
      <c r="F13" s="16">
        <f>AVERAGE('R0031_Gen2_100%'!J13:M13)</f>
        <v>0.98512491188450113</v>
      </c>
      <c r="G13" s="16">
        <f>_xlfn.STDEV.P('R0031_Gen2_100%'!J13:M13)</f>
        <v>0.15942375123789587</v>
      </c>
      <c r="H13" s="16">
        <f>AVERAGE('R0031_Gen2_100%'!N13:Q13)</f>
        <v>1.7395742733438926</v>
      </c>
      <c r="I13" s="16">
        <f>_xlfn.STDEV.P('R0031_Gen2_100%'!N13:Q13)</f>
        <v>0.5201803850944039</v>
      </c>
      <c r="J13" s="16">
        <f>AVERAGE('R0031_Gen2_100%'!R13:U13)</f>
        <v>0.19647702493147359</v>
      </c>
      <c r="K13" s="16">
        <f>_xlfn.STDEV.P('R0031_Gen2_100%'!R13:U13)</f>
        <v>0.13855442668534673</v>
      </c>
      <c r="L13" s="16">
        <f>AVERAGE('R0031_Gen2_100%'!V13:Y13)</f>
        <v>0.20136120411541472</v>
      </c>
      <c r="M13" s="16">
        <f>_xlfn.STDEV.P('R0031_Gen2_100%'!V13:Y13)</f>
        <v>0.15435443524620668</v>
      </c>
    </row>
    <row r="14" spans="1:13" x14ac:dyDescent="0.25">
      <c r="A14" s="2" t="s">
        <v>14</v>
      </c>
      <c r="B14" s="16">
        <f>AVERAGE('R0031_Gen2_100%'!B14:E14)</f>
        <v>0.28177627716810572</v>
      </c>
      <c r="C14" s="16">
        <f>_xlfn.STDEV.P('R0031_Gen2_100%'!B14:E14)</f>
        <v>8.4514242925742764E-2</v>
      </c>
      <c r="D14" s="16">
        <f>AVERAGE('R0031_Gen2_100%'!F14:I14)</f>
        <v>0.59396473285468154</v>
      </c>
      <c r="E14" s="16">
        <f>_xlfn.STDEV.P('R0031_Gen2_100%'!F14:I14)</f>
        <v>7.4592787953619621E-2</v>
      </c>
      <c r="F14" s="16">
        <f>AVERAGE('R0031_Gen2_100%'!J14:M14)</f>
        <v>1.2193490291788187</v>
      </c>
      <c r="G14" s="16">
        <f>_xlfn.STDEV.P('R0031_Gen2_100%'!J14:M14)</f>
        <v>0.47424149969294688</v>
      </c>
      <c r="H14" s="16">
        <f>AVERAGE('R0031_Gen2_100%'!N14:Q14)</f>
        <v>2.3992057748022706</v>
      </c>
      <c r="I14" s="16">
        <f>_xlfn.STDEV.P('R0031_Gen2_100%'!N14:Q14)</f>
        <v>1.0860781695878539</v>
      </c>
      <c r="J14" s="16">
        <f>AVERAGE('R0031_Gen2_100%'!R14:U14)</f>
        <v>3.5095053504969882</v>
      </c>
      <c r="K14" s="16">
        <f>_xlfn.STDEV.P('R0031_Gen2_100%'!R14:U14)</f>
        <v>1.8660447545561245</v>
      </c>
      <c r="L14" s="16">
        <f>AVERAGE('R0031_Gen2_100%'!V14:Y14)</f>
        <v>5.9932607367811572</v>
      </c>
      <c r="M14" s="16">
        <f>_xlfn.STDEV.P('R0031_Gen2_100%'!V14:Y14)</f>
        <v>3.0822290895790792</v>
      </c>
    </row>
    <row r="15" spans="1:13" x14ac:dyDescent="0.25">
      <c r="A15" s="2" t="s">
        <v>15</v>
      </c>
      <c r="B15" s="16">
        <f>AVERAGE('R0031_Gen2_100%'!B15:E15)</f>
        <v>0.20006628531757495</v>
      </c>
      <c r="C15" s="16">
        <f>_xlfn.STDEV.P('R0031_Gen2_100%'!B15:E15)</f>
        <v>0.28214125175161092</v>
      </c>
      <c r="D15" s="16">
        <f>AVERAGE('R0031_Gen2_100%'!F15:I15)</f>
        <v>0.22313630168112336</v>
      </c>
      <c r="E15" s="16">
        <f>_xlfn.STDEV.P('R0031_Gen2_100%'!F15:I15)</f>
        <v>0.1816355868469422</v>
      </c>
      <c r="F15" s="16">
        <f>AVERAGE('R0031_Gen2_100%'!J15:M15)</f>
        <v>0.19929569277416989</v>
      </c>
      <c r="G15" s="16">
        <f>_xlfn.STDEV.P('R0031_Gen2_100%'!J15:M15)</f>
        <v>6.2193501883044316E-2</v>
      </c>
      <c r="H15" s="16">
        <f>AVERAGE('R0031_Gen2_100%'!N15:Q15)</f>
        <v>0.20210655506004835</v>
      </c>
      <c r="I15" s="16">
        <f>_xlfn.STDEV.P('R0031_Gen2_100%'!N15:Q15)</f>
        <v>3.2965407807487079E-2</v>
      </c>
      <c r="J15" s="16">
        <f>AVERAGE('R0031_Gen2_100%'!R15:U15)</f>
        <v>8.8175567351882866E-2</v>
      </c>
      <c r="K15" s="16">
        <f>_xlfn.STDEV.P('R0031_Gen2_100%'!R15:U15)</f>
        <v>0.15272456263967266</v>
      </c>
      <c r="L15" s="16">
        <f>AVERAGE('R0031_Gen2_100%'!V15:Y15)</f>
        <v>0.86396851736527536</v>
      </c>
      <c r="M15" s="16">
        <f>_xlfn.STDEV.P('R0031_Gen2_100%'!V15:Y15)</f>
        <v>1.3791693224443562</v>
      </c>
    </row>
    <row r="16" spans="1:13" x14ac:dyDescent="0.25">
      <c r="A16" s="2" t="s">
        <v>16</v>
      </c>
      <c r="B16" s="16">
        <f>AVERAGE('R0031_Gen2_100%'!B16:E16)</f>
        <v>0.2090530816161861</v>
      </c>
      <c r="C16" s="16">
        <f>_xlfn.STDEV.P('R0031_Gen2_100%'!B16:E16)</f>
        <v>0.23730660349291502</v>
      </c>
      <c r="D16" s="16">
        <f>AVERAGE('R0031_Gen2_100%'!F16:I16)</f>
        <v>5.845490627513418E-2</v>
      </c>
      <c r="E16" s="16">
        <f>_xlfn.STDEV.P('R0031_Gen2_100%'!F16:I16)</f>
        <v>4.7946131793847165E-2</v>
      </c>
      <c r="F16" s="16">
        <f>AVERAGE('R0031_Gen2_100%'!J16:M16)</f>
        <v>6.1911779925672705E-2</v>
      </c>
      <c r="G16" s="16">
        <f>_xlfn.STDEV.P('R0031_Gen2_100%'!J16:M16)</f>
        <v>2.1323220705497022E-2</v>
      </c>
      <c r="H16" s="16">
        <f>AVERAGE('R0031_Gen2_100%'!N16:Q16)</f>
        <v>0.22648297788558178</v>
      </c>
      <c r="I16" s="16">
        <f>_xlfn.STDEV.P('R0031_Gen2_100%'!N16:Q16)</f>
        <v>0.29833872538224165</v>
      </c>
      <c r="J16" s="16">
        <f>AVERAGE('R0031_Gen2_100%'!R16:U16)</f>
        <v>4.0885095004063482E-2</v>
      </c>
      <c r="K16" s="16">
        <f>_xlfn.STDEV.P('R0031_Gen2_100%'!R16:U16)</f>
        <v>3.4561020355514546E-2</v>
      </c>
      <c r="L16" s="16">
        <f>AVERAGE('R0031_Gen2_100%'!V16:Y16)</f>
        <v>0</v>
      </c>
      <c r="M16" s="16">
        <f>_xlfn.STDEV.P('R0031_Gen2_100%'!V16:Y16)</f>
        <v>0</v>
      </c>
    </row>
    <row r="17" spans="1:13" s="20" customFormat="1" x14ac:dyDescent="0.25">
      <c r="A17" s="12" t="s">
        <v>18</v>
      </c>
      <c r="B17" s="19">
        <f>AVERAGE('R0031_Gen2_100%'!B17:E17)</f>
        <v>23.179326029320197</v>
      </c>
      <c r="C17" s="19">
        <f>_xlfn.STDEV.P('R0031_Gen2_100%'!B17:E17)</f>
        <v>0.63248910730199448</v>
      </c>
      <c r="D17" s="19">
        <f>AVERAGE('R0031_Gen2_100%'!F17:I17)</f>
        <v>27.364138760981064</v>
      </c>
      <c r="E17" s="19">
        <f>_xlfn.STDEV.P('R0031_Gen2_100%'!F17:I17)</f>
        <v>0.76256099822558998</v>
      </c>
      <c r="F17" s="19">
        <f>AVERAGE('R0031_Gen2_100%'!J17:M17)</f>
        <v>30.879066339277038</v>
      </c>
      <c r="G17" s="19">
        <f>_xlfn.STDEV.P('R0031_Gen2_100%'!J17:M17)</f>
        <v>1.3077687093419705</v>
      </c>
      <c r="H17" s="19">
        <f>AVERAGE('R0031_Gen2_100%'!N17:Q17)</f>
        <v>32.989981715828968</v>
      </c>
      <c r="I17" s="19">
        <f>_xlfn.STDEV.P('R0031_Gen2_100%'!N17:Q17)</f>
        <v>1.314526415204196</v>
      </c>
      <c r="J17" s="19">
        <f>AVERAGE('R0031_Gen2_100%'!R17:U17)</f>
        <v>45.329314541763338</v>
      </c>
      <c r="K17" s="19">
        <f>_xlfn.STDEV.P('R0031_Gen2_100%'!R17:U17)</f>
        <v>2.1338758541114866</v>
      </c>
      <c r="L17" s="19">
        <f>AVERAGE('R0031_Gen2_100%'!V17:Y17)</f>
        <v>54.298736330496915</v>
      </c>
      <c r="M17" s="19">
        <f>_xlfn.STDEV.P('R0031_Gen2_100%'!V17:Y17)</f>
        <v>4.1397885660547846</v>
      </c>
    </row>
    <row r="18" spans="1:13" x14ac:dyDescent="0.25">
      <c r="A18" s="2" t="s">
        <v>8</v>
      </c>
      <c r="B18" s="16">
        <f>AVERAGE('R0031_Gen2_100%'!B18:E18)</f>
        <v>5.4526216328318791E-2</v>
      </c>
      <c r="C18" s="16">
        <f>_xlfn.STDEV.P('R0031_Gen2_100%'!B18:E18)</f>
        <v>3.2202884204718285E-2</v>
      </c>
      <c r="D18" s="16">
        <f>AVERAGE('R0031_Gen2_100%'!F18:I18)</f>
        <v>5.4389466041036415E-2</v>
      </c>
      <c r="E18" s="16">
        <f>_xlfn.STDEV.P('R0031_Gen2_100%'!F18:I18)</f>
        <v>2.763534347070758E-2</v>
      </c>
      <c r="F18" s="16">
        <f>AVERAGE('R0031_Gen2_100%'!J18:M18)</f>
        <v>0.15896678271965844</v>
      </c>
      <c r="G18" s="16">
        <f>_xlfn.STDEV.P('R0031_Gen2_100%'!J18:M18)</f>
        <v>8.3067003708656037E-2</v>
      </c>
      <c r="H18" s="16">
        <f>AVERAGE('R0031_Gen2_100%'!N18:Q18)</f>
        <v>0.92242966146530037</v>
      </c>
      <c r="I18" s="16">
        <f>_xlfn.STDEV.P('R0031_Gen2_100%'!N18:Q18)</f>
        <v>0.50511659400327824</v>
      </c>
      <c r="J18" s="16">
        <f>AVERAGE('R0031_Gen2_100%'!R18:U18)</f>
        <v>3.4582145496625079</v>
      </c>
      <c r="K18" s="16">
        <f>_xlfn.STDEV.P('R0031_Gen2_100%'!R18:U18)</f>
        <v>1.319398791535034</v>
      </c>
      <c r="L18" s="16">
        <f>AVERAGE('R0031_Gen2_100%'!V18:Y18)</f>
        <v>3.7494161495642948</v>
      </c>
      <c r="M18" s="16">
        <f>_xlfn.STDEV.P('R0031_Gen2_100%'!V18:Y18)</f>
        <v>0.49064292286845279</v>
      </c>
    </row>
    <row r="19" spans="1:13" x14ac:dyDescent="0.25">
      <c r="A19" s="2" t="s">
        <v>6</v>
      </c>
      <c r="B19" s="16">
        <f>AVERAGE('R0031_Gen2_100%'!B19:E19)</f>
        <v>22.564177550829584</v>
      </c>
      <c r="C19" s="16">
        <f>_xlfn.STDEV.P('R0031_Gen2_100%'!B19:E19)</f>
        <v>0.64567600052145491</v>
      </c>
      <c r="D19" s="16">
        <f>AVERAGE('R0031_Gen2_100%'!F19:I19)</f>
        <v>26.269076745472116</v>
      </c>
      <c r="E19" s="16">
        <f>_xlfn.STDEV.P('R0031_Gen2_100%'!F19:I19)</f>
        <v>0.83168590049430757</v>
      </c>
      <c r="F19" s="16">
        <f>AVERAGE('R0031_Gen2_100%'!J19:M19)</f>
        <v>28.375261559219808</v>
      </c>
      <c r="G19" s="16">
        <f>_xlfn.STDEV.P('R0031_Gen2_100%'!J19:M19)</f>
        <v>1.2455549518510567</v>
      </c>
      <c r="H19" s="16">
        <f>AVERAGE('R0031_Gen2_100%'!N19:Q19)</f>
        <v>28.108180774446978</v>
      </c>
      <c r="I19" s="16">
        <f>_xlfn.STDEV.P('R0031_Gen2_100%'!N19:Q19)</f>
        <v>0.86930206857355763</v>
      </c>
      <c r="J19" s="16">
        <f>AVERAGE('R0031_Gen2_100%'!R19:U19)</f>
        <v>32.736886017917996</v>
      </c>
      <c r="K19" s="16">
        <f>_xlfn.STDEV.P('R0031_Gen2_100%'!R19:U19)</f>
        <v>1.8376728077719842</v>
      </c>
      <c r="L19" s="16">
        <f>AVERAGE('R0031_Gen2_100%'!V19:Y19)</f>
        <v>28.08326415971084</v>
      </c>
      <c r="M19" s="16">
        <f>_xlfn.STDEV.P('R0031_Gen2_100%'!V19:Y19)</f>
        <v>1.824198307924731</v>
      </c>
    </row>
    <row r="20" spans="1:13" x14ac:dyDescent="0.25">
      <c r="A20" s="2" t="s">
        <v>14</v>
      </c>
      <c r="B20" s="16">
        <f>AVERAGE('R0031_Gen2_100%'!B20:E20)</f>
        <v>0.10145003468196789</v>
      </c>
      <c r="C20" s="16">
        <f>_xlfn.STDEV.P('R0031_Gen2_100%'!B20:E20)</f>
        <v>3.3229107345085075E-3</v>
      </c>
      <c r="D20" s="16">
        <f>AVERAGE('R0031_Gen2_100%'!F20:I20)</f>
        <v>0.31795883068469172</v>
      </c>
      <c r="E20" s="16">
        <f>_xlfn.STDEV.P('R0031_Gen2_100%'!F20:I20)</f>
        <v>5.5221296227699342E-2</v>
      </c>
      <c r="F20" s="16">
        <f>AVERAGE('R0031_Gen2_100%'!J20:M20)</f>
        <v>0.80194320160468291</v>
      </c>
      <c r="G20" s="16">
        <f>_xlfn.STDEV.P('R0031_Gen2_100%'!J20:M20)</f>
        <v>0.11861878004748978</v>
      </c>
      <c r="H20" s="16">
        <f>AVERAGE('R0031_Gen2_100%'!N20:Q20)</f>
        <v>1.8069282900089108</v>
      </c>
      <c r="I20" s="16">
        <f>_xlfn.STDEV.P('R0031_Gen2_100%'!N20:Q20)</f>
        <v>0.61855684482296014</v>
      </c>
      <c r="J20" s="16">
        <f>AVERAGE('R0031_Gen2_100%'!R20:U20)</f>
        <v>4.8992991219645301</v>
      </c>
      <c r="K20" s="16">
        <f>_xlfn.STDEV.P('R0031_Gen2_100%'!R20:U20)</f>
        <v>1.5290663088340928</v>
      </c>
      <c r="L20" s="16">
        <f>AVERAGE('R0031_Gen2_100%'!V20:Y20)</f>
        <v>12.728767696973989</v>
      </c>
      <c r="M20" s="16">
        <f>_xlfn.STDEV.P('R0031_Gen2_100%'!V20:Y20)</f>
        <v>2.296215357866072</v>
      </c>
    </row>
    <row r="21" spans="1:13" x14ac:dyDescent="0.25">
      <c r="A21" s="2" t="s">
        <v>15</v>
      </c>
      <c r="B21" s="16">
        <f>AVERAGE('R0031_Gen2_100%'!B21:E21)</f>
        <v>0.33510531806237148</v>
      </c>
      <c r="C21" s="16">
        <f>_xlfn.STDEV.P('R0031_Gen2_100%'!B21:E21)</f>
        <v>6.6131104874971952E-2</v>
      </c>
      <c r="D21" s="16">
        <f>AVERAGE('R0031_Gen2_100%'!F21:I21)</f>
        <v>0.65244185144748434</v>
      </c>
      <c r="E21" s="16">
        <f>_xlfn.STDEV.P('R0031_Gen2_100%'!F21:I21)</f>
        <v>0.1578656606985186</v>
      </c>
      <c r="F21" s="16">
        <f>AVERAGE('R0031_Gen2_100%'!J21:M21)</f>
        <v>1.2071225593996808</v>
      </c>
      <c r="G21" s="16">
        <f>_xlfn.STDEV.P('R0031_Gen2_100%'!J21:M21)</f>
        <v>0.25393911384973494</v>
      </c>
      <c r="H21" s="16">
        <f>AVERAGE('R0031_Gen2_100%'!N21:Q21)</f>
        <v>1.6683036177741801</v>
      </c>
      <c r="I21" s="16">
        <f>_xlfn.STDEV.P('R0031_Gen2_100%'!N21:Q21)</f>
        <v>0.34554242622850107</v>
      </c>
      <c r="J21" s="16">
        <f>AVERAGE('R0031_Gen2_100%'!R21:U21)</f>
        <v>3.6869498772837779</v>
      </c>
      <c r="K21" s="16">
        <f>_xlfn.STDEV.P('R0031_Gen2_100%'!R21:U21)</f>
        <v>8.9688710498705637E-2</v>
      </c>
      <c r="L21" s="16">
        <f>AVERAGE('R0031_Gen2_100%'!V21:Y21)</f>
        <v>9.5676827231079997</v>
      </c>
      <c r="M21" s="16">
        <f>_xlfn.STDEV.P('R0031_Gen2_100%'!V21:Y21)</f>
        <v>1.5108805134396994</v>
      </c>
    </row>
    <row r="22" spans="1:13" x14ac:dyDescent="0.25">
      <c r="A22" s="2" t="s">
        <v>16</v>
      </c>
      <c r="B22" s="16">
        <f>AVERAGE('R0031_Gen2_100%'!B22:E22)</f>
        <v>0.12406690941795108</v>
      </c>
      <c r="C22" s="16">
        <f>_xlfn.STDEV.P('R0031_Gen2_100%'!B22:E22)</f>
        <v>2.0198533011677375E-2</v>
      </c>
      <c r="D22" s="16">
        <f>AVERAGE('R0031_Gen2_100%'!F22:I22)</f>
        <v>7.0271867335733401E-2</v>
      </c>
      <c r="E22" s="16">
        <f>_xlfn.STDEV.P('R0031_Gen2_100%'!F22:I22)</f>
        <v>3.5431139565796695E-2</v>
      </c>
      <c r="F22" s="16">
        <f>AVERAGE('R0031_Gen2_100%'!J22:M22)</f>
        <v>0.33577223633320774</v>
      </c>
      <c r="G22" s="16">
        <f>_xlfn.STDEV.P('R0031_Gen2_100%'!J22:M22)</f>
        <v>9.4538648718918164E-2</v>
      </c>
      <c r="H22" s="16">
        <f>AVERAGE('R0031_Gen2_100%'!N22:Q22)</f>
        <v>0.4841393721336012</v>
      </c>
      <c r="I22" s="16">
        <f>_xlfn.STDEV.P('R0031_Gen2_100%'!N22:Q22)</f>
        <v>0.32511419800529795</v>
      </c>
      <c r="J22" s="16">
        <f>AVERAGE('R0031_Gen2_100%'!R22:U22)</f>
        <v>0.5479649749345219</v>
      </c>
      <c r="K22" s="16">
        <f>_xlfn.STDEV.P('R0031_Gen2_100%'!R22:U22)</f>
        <v>0.12467864897385951</v>
      </c>
      <c r="L22" s="16">
        <f>AVERAGE('R0031_Gen2_100%'!V22:Y22)</f>
        <v>0.169605601139799</v>
      </c>
      <c r="M22" s="16">
        <f>_xlfn.STDEV.P('R0031_Gen2_100%'!V22:Y22)</f>
        <v>8.6060061645857125E-2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BBC6-64EF-4103-826F-54EFD74C3E57}">
  <sheetPr codeName="Sheet14"/>
  <dimension ref="A1:H23"/>
  <sheetViews>
    <sheetView workbookViewId="0">
      <selection activeCell="N23" sqref="N23"/>
    </sheetView>
  </sheetViews>
  <sheetFormatPr defaultRowHeight="15" x14ac:dyDescent="0.25"/>
  <cols>
    <col min="2" max="2" width="11" bestFit="1" customWidth="1"/>
    <col min="3" max="3" width="12" bestFit="1" customWidth="1"/>
    <col min="4" max="4" width="19.7109375" bestFit="1" customWidth="1"/>
  </cols>
  <sheetData>
    <row r="1" spans="1:8" x14ac:dyDescent="0.25">
      <c r="A1" t="s">
        <v>28</v>
      </c>
      <c r="B1" t="str">
        <f>'R0030_LFP_Liberation'!B1</f>
        <v>Amount (g)</v>
      </c>
      <c r="C1" t="s">
        <v>30</v>
      </c>
      <c r="D1" t="s">
        <v>31</v>
      </c>
      <c r="E1" t="s">
        <v>32</v>
      </c>
      <c r="F1" t="s">
        <v>33</v>
      </c>
      <c r="G1" t="s">
        <v>27</v>
      </c>
      <c r="H1" t="s">
        <v>34</v>
      </c>
    </row>
    <row r="2" spans="1:8" x14ac:dyDescent="0.25">
      <c r="A2">
        <v>11.2</v>
      </c>
      <c r="B2">
        <v>10.95</v>
      </c>
      <c r="C2" s="16">
        <f t="shared" ref="C2:C11" si="0">(B2/$B$13)*100</f>
        <v>1.4420227826430498</v>
      </c>
      <c r="D2" s="16">
        <f t="shared" ref="D2:D11" si="1">C2+D3</f>
        <v>100.00000000000001</v>
      </c>
      <c r="H2" s="16">
        <f t="shared" ref="H2:H11" si="2">(B2/$B$13)*$H$23*100</f>
        <v>1.2351924786704889</v>
      </c>
    </row>
    <row r="3" spans="1:8" x14ac:dyDescent="0.25">
      <c r="A3">
        <v>8</v>
      </c>
      <c r="B3">
        <v>68.05</v>
      </c>
      <c r="C3" s="16">
        <f t="shared" si="0"/>
        <v>8.96161190491868</v>
      </c>
      <c r="D3" s="16">
        <f t="shared" si="1"/>
        <v>98.557977217356964</v>
      </c>
      <c r="E3" s="16">
        <f>'R0031_Gen2_Averages'!L7+'R0031_Gen2_Averages'!L14+'R0031_Gen2_Averages'!L20</f>
        <v>19.715531539246605</v>
      </c>
      <c r="F3" s="16">
        <f t="shared" ref="F3:F8" si="3">100-E3</f>
        <v>80.284468460753402</v>
      </c>
      <c r="G3" s="16">
        <f>'R0031_Gen2_Averages'!M7+'R0031_Gen2_Averages'!M14+'R0031_Gen2_Averages'!M20</f>
        <v>5.8733319320084005</v>
      </c>
      <c r="H3" s="16">
        <f t="shared" si="2"/>
        <v>7.676241842331212</v>
      </c>
    </row>
    <row r="4" spans="1:8" x14ac:dyDescent="0.25">
      <c r="A4">
        <v>5.6</v>
      </c>
      <c r="B4">
        <v>154.65</v>
      </c>
      <c r="C4" s="16">
        <f t="shared" si="0"/>
        <v>20.366102587739515</v>
      </c>
      <c r="D4" s="16">
        <f t="shared" si="1"/>
        <v>89.59636531243828</v>
      </c>
      <c r="E4" s="16">
        <f>'R0031_Gen2_Averages'!J7+'R0031_Gen2_Averages'!J14+'R0031_Gen2_Averages'!J20</f>
        <v>9.1201639355479998</v>
      </c>
      <c r="F4" s="16">
        <f t="shared" si="3"/>
        <v>90.879836064452007</v>
      </c>
      <c r="G4" s="16">
        <f>'R0031_Gen2_Averages'!K7+'R0031_Gen2_Averages'!K14+'R0031_Gen2_Averages'!K20</f>
        <v>4.3989812223966283</v>
      </c>
      <c r="H4" s="16">
        <f t="shared" si="2"/>
        <v>17.444978705606498</v>
      </c>
    </row>
    <row r="5" spans="1:8" x14ac:dyDescent="0.25">
      <c r="A5">
        <v>4</v>
      </c>
      <c r="B5">
        <v>156.05000000000001</v>
      </c>
      <c r="C5" s="16">
        <f t="shared" si="0"/>
        <v>20.55047079739251</v>
      </c>
      <c r="D5" s="16">
        <f t="shared" si="1"/>
        <v>69.230262724698761</v>
      </c>
      <c r="E5" s="16">
        <f>'R0031_Gen2_Averages'!H7+'R0031_Gen2_Averages'!H14+'R0031_Gen2_Averages'!H20</f>
        <v>4.3240145754035293</v>
      </c>
      <c r="F5" s="16">
        <f t="shared" si="3"/>
        <v>95.675985424596476</v>
      </c>
      <c r="G5" s="16">
        <f>'R0031_Gen2_Averages'!I7+'R0031_Gen2_Averages'!I14+'R0031_Gen2_Averages'!I20</f>
        <v>1.7985837237118154</v>
      </c>
      <c r="H5" s="16">
        <f t="shared" si="2"/>
        <v>17.60290285813058</v>
      </c>
    </row>
    <row r="6" spans="1:8" x14ac:dyDescent="0.25">
      <c r="A6">
        <v>2.8</v>
      </c>
      <c r="B6">
        <v>109.2</v>
      </c>
      <c r="C6" s="16">
        <f t="shared" si="0"/>
        <v>14.38072035293343</v>
      </c>
      <c r="D6" s="16">
        <f t="shared" si="1"/>
        <v>48.679791927306248</v>
      </c>
      <c r="E6" s="16">
        <f>'R0031_Gen2_Averages'!F7+'R0031_Gen2_Averages'!F14+'R0031_Gen2_Averages'!F20</f>
        <v>2.246754643777551</v>
      </c>
      <c r="F6" s="16">
        <f t="shared" si="3"/>
        <v>97.75324535622245</v>
      </c>
      <c r="G6" s="16">
        <f>'R0031_Gen2_Averages'!G7+'R0031_Gen2_Averages'!G14+'R0031_Gen2_Averages'!G20</f>
        <v>0.68046173737510884</v>
      </c>
      <c r="H6" s="16">
        <f t="shared" si="2"/>
        <v>12.318083896878301</v>
      </c>
    </row>
    <row r="7" spans="1:8" x14ac:dyDescent="0.25">
      <c r="A7">
        <v>2</v>
      </c>
      <c r="B7">
        <v>60</v>
      </c>
      <c r="C7" s="16">
        <f t="shared" si="0"/>
        <v>7.9014946994139716</v>
      </c>
      <c r="D7" s="16">
        <f t="shared" si="1"/>
        <v>34.299071574372817</v>
      </c>
      <c r="E7" s="16">
        <f>'R0031_Gen2_Averages'!D7+'R0031_Gen2_Averages'!D14+'R0031_Gen2_Averages'!D20</f>
        <v>1.0901364707306338</v>
      </c>
      <c r="F7" s="16">
        <f t="shared" si="3"/>
        <v>98.909863529269373</v>
      </c>
      <c r="G7" s="16">
        <f>'R0031_Gen2_Averages'!E7+'R0031_Gen2_Averages'!E14+'R0031_Gen2_Averages'!E20</f>
        <v>0.19400164851256704</v>
      </c>
      <c r="H7" s="16">
        <f t="shared" si="2"/>
        <v>6.7681779653177481</v>
      </c>
    </row>
    <row r="8" spans="1:8" x14ac:dyDescent="0.25">
      <c r="A8">
        <v>1</v>
      </c>
      <c r="B8">
        <v>59.25</v>
      </c>
      <c r="C8" s="16">
        <f t="shared" si="0"/>
        <v>7.8027260156712979</v>
      </c>
      <c r="D8" s="16">
        <f t="shared" si="1"/>
        <v>26.397576874958844</v>
      </c>
      <c r="E8" s="16">
        <f>'R0031_Gen2_Averages'!B7+'R0031_Gen2_Averages'!B14+'R0031_Gen2_Averages'!B20</f>
        <v>0.52040933913850296</v>
      </c>
      <c r="F8" s="16">
        <f t="shared" si="3"/>
        <v>99.479590660861504</v>
      </c>
      <c r="G8" s="16">
        <f>'R0031_Gen2_Averages'!C7+'R0031_Gen2_Averages'!C14+'R0031_Gen2_Averages'!C20</f>
        <v>0.11219573691829492</v>
      </c>
      <c r="H8" s="16">
        <f t="shared" si="2"/>
        <v>6.6835757407512757</v>
      </c>
    </row>
    <row r="9" spans="1:8" x14ac:dyDescent="0.25">
      <c r="A9">
        <v>0.124</v>
      </c>
      <c r="B9">
        <v>93.85</v>
      </c>
      <c r="C9" s="16">
        <f t="shared" si="0"/>
        <v>12.359254625666688</v>
      </c>
      <c r="D9" s="16">
        <f t="shared" si="1"/>
        <v>18.594850859287547</v>
      </c>
      <c r="H9" s="16">
        <f t="shared" si="2"/>
        <v>10.586558367417844</v>
      </c>
    </row>
    <row r="10" spans="1:8" x14ac:dyDescent="0.25">
      <c r="A10">
        <v>0.04</v>
      </c>
      <c r="B10">
        <v>21.3</v>
      </c>
      <c r="C10" s="16">
        <f t="shared" si="0"/>
        <v>2.8050306182919602</v>
      </c>
      <c r="D10" s="16">
        <f t="shared" si="1"/>
        <v>6.2355962336208597</v>
      </c>
      <c r="H10" s="16">
        <f t="shared" si="2"/>
        <v>2.4027031776878007</v>
      </c>
    </row>
    <row r="11" spans="1:8" x14ac:dyDescent="0.25">
      <c r="A11">
        <v>0</v>
      </c>
      <c r="B11">
        <v>26.05</v>
      </c>
      <c r="C11" s="16">
        <f t="shared" si="0"/>
        <v>3.4305656153288995</v>
      </c>
      <c r="D11" s="16">
        <f t="shared" si="1"/>
        <v>3.4305656153288995</v>
      </c>
      <c r="H11" s="16">
        <f t="shared" si="2"/>
        <v>2.9385172666087889</v>
      </c>
    </row>
    <row r="13" spans="1:8" x14ac:dyDescent="0.25">
      <c r="A13" t="s">
        <v>35</v>
      </c>
      <c r="B13">
        <f>SUM(B2:B11)</f>
        <v>759.35</v>
      </c>
      <c r="C13" s="16">
        <f>SUM(C2:C11)</f>
        <v>100.00000000000001</v>
      </c>
      <c r="H13" s="34">
        <f>SUM(H2:H11)</f>
        <v>85.656932299400538</v>
      </c>
    </row>
    <row r="17" spans="1:8" x14ac:dyDescent="0.25">
      <c r="B17" t="s">
        <v>36</v>
      </c>
      <c r="C17" t="s">
        <v>27</v>
      </c>
      <c r="D17" t="s">
        <v>37</v>
      </c>
      <c r="E17" t="s">
        <v>38</v>
      </c>
      <c r="F17" t="s">
        <v>39</v>
      </c>
      <c r="G17" t="s">
        <v>40</v>
      </c>
    </row>
    <row r="18" spans="1:8" x14ac:dyDescent="0.25">
      <c r="A18" t="s">
        <v>45</v>
      </c>
      <c r="B18">
        <v>414</v>
      </c>
      <c r="C18">
        <v>0</v>
      </c>
      <c r="D18" s="43">
        <f>B18/$B$23</f>
        <v>0.45537040092393993</v>
      </c>
      <c r="E18">
        <f t="shared" ref="E18:E23" si="4">(C18/B18)^2</f>
        <v>0</v>
      </c>
      <c r="F18" s="43">
        <f t="shared" ref="F18:F23" si="5">D18*SQRT(E18+$E$23)</f>
        <v>0</v>
      </c>
      <c r="G18" s="28">
        <f t="shared" ref="G18:G23" si="6">C18/B18</f>
        <v>0</v>
      </c>
      <c r="H18">
        <f>D18</f>
        <v>0.45537040092393993</v>
      </c>
    </row>
    <row r="19" spans="1:8" x14ac:dyDescent="0.25">
      <c r="A19" t="s">
        <v>46</v>
      </c>
      <c r="B19">
        <v>303</v>
      </c>
      <c r="C19">
        <v>0</v>
      </c>
      <c r="D19" s="43">
        <f t="shared" ref="D19:D23" si="7">B19/$B$23</f>
        <v>0.33327833690810099</v>
      </c>
      <c r="E19">
        <f t="shared" si="4"/>
        <v>0</v>
      </c>
      <c r="F19" s="43">
        <f t="shared" si="5"/>
        <v>0</v>
      </c>
      <c r="G19" s="28">
        <f t="shared" si="6"/>
        <v>0</v>
      </c>
      <c r="H19">
        <f>D19</f>
        <v>0.33327833690810099</v>
      </c>
    </row>
    <row r="20" spans="1:8" x14ac:dyDescent="0.25">
      <c r="A20" t="s">
        <v>47</v>
      </c>
      <c r="B20">
        <v>31.95</v>
      </c>
      <c r="C20">
        <v>0</v>
      </c>
      <c r="D20" s="43">
        <f t="shared" si="7"/>
        <v>3.5142715723477977E-2</v>
      </c>
      <c r="E20">
        <f t="shared" si="4"/>
        <v>0</v>
      </c>
      <c r="F20" s="43">
        <f t="shared" si="5"/>
        <v>0</v>
      </c>
      <c r="G20" s="28">
        <f t="shared" si="6"/>
        <v>0</v>
      </c>
      <c r="H20">
        <f>D20</f>
        <v>3.5142715723477977E-2</v>
      </c>
    </row>
    <row r="21" spans="1:8" x14ac:dyDescent="0.25">
      <c r="A21" t="s">
        <v>48</v>
      </c>
      <c r="B21">
        <v>29.8</v>
      </c>
      <c r="C21">
        <v>0</v>
      </c>
      <c r="D21" s="43">
        <f t="shared" si="7"/>
        <v>3.2777869438486498E-2</v>
      </c>
      <c r="E21">
        <f t="shared" si="4"/>
        <v>0</v>
      </c>
      <c r="F21" s="43">
        <f t="shared" si="5"/>
        <v>0</v>
      </c>
      <c r="G21" s="28">
        <f t="shared" si="6"/>
        <v>0</v>
      </c>
      <c r="H21">
        <f>D21</f>
        <v>3.2777869438486498E-2</v>
      </c>
    </row>
    <row r="22" spans="1:8" x14ac:dyDescent="0.25">
      <c r="A22" t="s">
        <v>49</v>
      </c>
      <c r="B22">
        <v>130.39999999999998</v>
      </c>
      <c r="C22">
        <v>0</v>
      </c>
      <c r="D22" s="43">
        <f t="shared" si="7"/>
        <v>0.1434306770059946</v>
      </c>
      <c r="E22">
        <f t="shared" si="4"/>
        <v>0</v>
      </c>
      <c r="F22" s="43">
        <f t="shared" si="5"/>
        <v>0</v>
      </c>
      <c r="G22" s="28">
        <f t="shared" si="6"/>
        <v>0</v>
      </c>
      <c r="H22" s="27" t="s">
        <v>50</v>
      </c>
    </row>
    <row r="23" spans="1:8" x14ac:dyDescent="0.25">
      <c r="A23" t="s">
        <v>51</v>
      </c>
      <c r="B23">
        <v>909.15</v>
      </c>
      <c r="C23">
        <v>0</v>
      </c>
      <c r="D23" s="43">
        <f t="shared" si="7"/>
        <v>1</v>
      </c>
      <c r="E23">
        <f t="shared" si="4"/>
        <v>0</v>
      </c>
      <c r="F23" s="43">
        <f t="shared" si="5"/>
        <v>0</v>
      </c>
      <c r="G23" s="28">
        <f t="shared" si="6"/>
        <v>0</v>
      </c>
      <c r="H23" s="38">
        <f>SUM(H18:H21)</f>
        <v>0.85656932299400534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EC55-CE1C-488E-8BA0-614F86D38EB2}">
  <sheetPr codeName="Sheet15"/>
  <dimension ref="A1:W48"/>
  <sheetViews>
    <sheetView workbookViewId="0"/>
  </sheetViews>
  <sheetFormatPr defaultRowHeight="15" x14ac:dyDescent="0.25"/>
  <cols>
    <col min="1" max="1" width="8.5703125" style="2" customWidth="1"/>
    <col min="2" max="20" width="8.5703125" customWidth="1"/>
    <col min="23" max="23" width="20.42578125" bestFit="1" customWidth="1"/>
  </cols>
  <sheetData>
    <row r="1" spans="1:16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</row>
    <row r="2" spans="1:16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t="s">
        <v>53</v>
      </c>
    </row>
    <row r="3" spans="1:16" s="9" customFormat="1" x14ac:dyDescent="0.25">
      <c r="A3" s="13" t="s">
        <v>19</v>
      </c>
      <c r="B3" s="21">
        <f>('R0031_Gen2_Averages'!B3)*('R0031_Gen2_Liberation'!$C$8/100)</f>
        <v>7.8027260156712979</v>
      </c>
      <c r="C3" s="21">
        <f>('R0031_Gen2_Averages'!C3)*('R0031_Gen2_Liberation'!$C$8/100)</f>
        <v>0</v>
      </c>
      <c r="D3" s="21">
        <f>'R0031_Gen2_Averages'!D3*('R0031_Gen2_Liberation'!$C$7/100)</f>
        <v>7.9014946994139716</v>
      </c>
      <c r="E3" s="21">
        <f>'R0031_Gen2_Averages'!E3*('R0031_Gen2_Liberation'!$C$7/100)</f>
        <v>0</v>
      </c>
      <c r="F3" s="21">
        <f>'R0031_Gen2_Averages'!F3*('R0031_Gen2_Liberation'!$C$6/100)</f>
        <v>14.38072035293343</v>
      </c>
      <c r="G3" s="21">
        <f>'R0031_Gen2_Averages'!G3*('R0031_Gen2_Liberation'!$C$6/100)</f>
        <v>0</v>
      </c>
      <c r="H3" s="21">
        <f>'R0031_Gen2_Averages'!H3*('R0031_Gen2_Liberation'!$C$5/100)</f>
        <v>20.55047079739251</v>
      </c>
      <c r="I3" s="21">
        <f>'R0031_Gen2_Averages'!I3*('R0031_Gen2_Liberation'!$C$5/100)</f>
        <v>0</v>
      </c>
      <c r="J3" s="21">
        <f>'R0031_Gen2_Averages'!J3*('R0031_Gen2_Liberation'!$C$4/100)</f>
        <v>20.366102587739515</v>
      </c>
      <c r="K3" s="21">
        <f>'R0031_Gen2_Averages'!K3*('R0031_Gen2_Liberation'!$C$4/100)</f>
        <v>0</v>
      </c>
      <c r="L3" s="21">
        <f>'R0031_Gen2_Averages'!L3*('R0031_Gen2_Liberation'!$C$3/100)</f>
        <v>8.96161190491868</v>
      </c>
      <c r="M3" s="21">
        <f>'R0031_Gen2_Averages'!M3*('R0031_Gen2_Liberation'!$C$3/100)</f>
        <v>0</v>
      </c>
      <c r="O3" s="9">
        <f>B3+D3+F3+H3+J3+L3</f>
        <v>79.963126358069417</v>
      </c>
      <c r="P3" s="21">
        <f t="shared" ref="P3:P22" si="0">SQRT(SUMSQ(C3,E3,G3,I3,K3,M3))</f>
        <v>0</v>
      </c>
    </row>
    <row r="4" spans="1:16" s="24" customFormat="1" x14ac:dyDescent="0.25">
      <c r="A4" s="22" t="s">
        <v>12</v>
      </c>
      <c r="B4" s="23">
        <f>'R0031_Gen2_Averages'!B4*('R0031_Gen2_Liberation'!$C$8/100)</f>
        <v>0.36978744003068886</v>
      </c>
      <c r="C4" s="23">
        <f>('R0031_Gen2_Averages'!C4)*('R0031_Gen2_Liberation'!$C$8/100)</f>
        <v>2.3026060757448889E-2</v>
      </c>
      <c r="D4" s="23">
        <f>'R0031_Gen2_Averages'!D4*('R0031_Gen2_Liberation'!$C$7/100)</f>
        <v>0.44919468099091553</v>
      </c>
      <c r="E4" s="23">
        <f>'R0031_Gen2_Averages'!E4*('R0031_Gen2_Liberation'!$C$7/100)</f>
        <v>3.703931085734722E-2</v>
      </c>
      <c r="F4" s="23">
        <f>'R0031_Gen2_Averages'!F4*('R0031_Gen2_Liberation'!$C$6/100)</f>
        <v>0.76275563073154728</v>
      </c>
      <c r="G4" s="23">
        <f>'R0031_Gen2_Averages'!G4*('R0031_Gen2_Liberation'!$C$6/100)</f>
        <v>9.0315638583041827E-2</v>
      </c>
      <c r="H4" s="23">
        <f>'R0031_Gen2_Averages'!H4*('R0031_Gen2_Liberation'!$C$5/100)</f>
        <v>0.97660100436695918</v>
      </c>
      <c r="I4" s="23">
        <f>'R0031_Gen2_Averages'!I4*('R0031_Gen2_Liberation'!$C$5/100)</f>
        <v>0.22012325429670407</v>
      </c>
      <c r="J4" s="23">
        <f>'R0031_Gen2_Averages'!J4*('R0031_Gen2_Liberation'!$C$4/100)</f>
        <v>0.88400718068215267</v>
      </c>
      <c r="K4" s="23">
        <f>'R0031_Gen2_Averages'!K4*('R0031_Gen2_Liberation'!$C$4/100)</f>
        <v>0.2062101831047192</v>
      </c>
      <c r="L4" s="23">
        <f>'R0031_Gen2_Averages'!L4*('R0031_Gen2_Liberation'!$C$3/100)</f>
        <v>0.49983567775179255</v>
      </c>
      <c r="M4" s="23">
        <f>'R0031_Gen2_Averages'!M4*('R0031_Gen2_Liberation'!$C$3/100)</f>
        <v>9.5491934663870959E-2</v>
      </c>
      <c r="O4" s="24">
        <f>B4+D4+F4+H4+J4+L4</f>
        <v>3.9421816145540562</v>
      </c>
      <c r="P4" s="23">
        <f t="shared" si="0"/>
        <v>0.33189549692570075</v>
      </c>
    </row>
    <row r="5" spans="1:16" x14ac:dyDescent="0.25">
      <c r="A5" s="2" t="s">
        <v>8</v>
      </c>
      <c r="B5" s="16">
        <f>'R0031_Gen2_Averages'!B5*('R0031_Gen2_Liberation'!$C$8/100)</f>
        <v>2.013422081612079E-2</v>
      </c>
      <c r="C5" s="16">
        <f>('R0031_Gen2_Averages'!C5)*('R0031_Gen2_Liberation'!$C$8/100)</f>
        <v>1.4907937069950349E-2</v>
      </c>
      <c r="D5" s="16">
        <f>'R0031_Gen2_Averages'!D5*('R0031_Gen2_Liberation'!$C$7/100)</f>
        <v>2.2789833265114481E-2</v>
      </c>
      <c r="E5" s="16">
        <f>'R0031_Gen2_Averages'!E5*('R0031_Gen2_Liberation'!$C$7/100)</f>
        <v>1.2271941102863587E-2</v>
      </c>
      <c r="F5" s="16">
        <f>'R0031_Gen2_Averages'!F5*('R0031_Gen2_Liberation'!$C$6/100)</f>
        <v>2.6012438881278195E-2</v>
      </c>
      <c r="G5" s="16">
        <f>'R0031_Gen2_Averages'!G5*('R0031_Gen2_Liberation'!$C$6/100)</f>
        <v>1.8683041957955497E-2</v>
      </c>
      <c r="H5" s="16">
        <f>'R0031_Gen2_Averages'!H5*('R0031_Gen2_Liberation'!$C$5/100)</f>
        <v>6.8586601601389741E-2</v>
      </c>
      <c r="I5" s="16">
        <f>'R0031_Gen2_Averages'!I5*('R0031_Gen2_Liberation'!$C$5/100)</f>
        <v>3.4582890557204017E-2</v>
      </c>
      <c r="J5" s="16">
        <f>'R0031_Gen2_Averages'!J5*('R0031_Gen2_Liberation'!$C$4/100)</f>
        <v>2.0837685245411807E-2</v>
      </c>
      <c r="K5" s="16">
        <f>'R0031_Gen2_Averages'!K5*('R0031_Gen2_Liberation'!$C$4/100)</f>
        <v>2.2031104178980011E-2</v>
      </c>
      <c r="L5" s="16">
        <f>'R0031_Gen2_Averages'!L5*('R0031_Gen2_Liberation'!$C$3/100)</f>
        <v>2.8356890527612186E-2</v>
      </c>
      <c r="M5" s="16">
        <f>'R0031_Gen2_Averages'!M5*('R0031_Gen2_Liberation'!$C$3/100)</f>
        <v>4.9115575138492934E-2</v>
      </c>
      <c r="O5" s="16">
        <f>B5+D5+F5+H5+J5+L5</f>
        <v>0.18671767033692721</v>
      </c>
      <c r="P5" s="16">
        <f t="shared" si="0"/>
        <v>6.9394443399583824E-2</v>
      </c>
    </row>
    <row r="6" spans="1:16" x14ac:dyDescent="0.25">
      <c r="A6" s="2" t="s">
        <v>6</v>
      </c>
      <c r="B6" s="16">
        <f>'R0031_Gen2_Averages'!B6*('R0031_Gen2_Liberation'!$C$8/100)</f>
        <v>5.9531698302662799E-2</v>
      </c>
      <c r="C6" s="16">
        <f>('R0031_Gen2_Averages'!C6)*('R0031_Gen2_Liberation'!$C$8/100)</f>
        <v>3.7033381830545463E-2</v>
      </c>
      <c r="D6" s="16">
        <f>'R0031_Gen2_Averages'!D6*('R0031_Gen2_Liberation'!$C$7/100)</f>
        <v>2.4607855913543742E-2</v>
      </c>
      <c r="E6" s="16">
        <f>'R0031_Gen2_Averages'!E6*('R0031_Gen2_Liberation'!$C$7/100)</f>
        <v>5.8594598810179513E-3</v>
      </c>
      <c r="F6" s="16">
        <f>'R0031_Gen2_Averages'!F6*('R0031_Gen2_Liberation'!$C$6/100)</f>
        <v>4.5702446449976203E-2</v>
      </c>
      <c r="G6" s="16">
        <f>'R0031_Gen2_Averages'!G6*('R0031_Gen2_Liberation'!$C$6/100)</f>
        <v>1.6626388934958772E-2</v>
      </c>
      <c r="H6" s="16">
        <f>'R0031_Gen2_Averages'!H6*('R0031_Gen2_Liberation'!$C$5/100)</f>
        <v>8.7932865236854521E-2</v>
      </c>
      <c r="I6" s="16">
        <f>'R0031_Gen2_Averages'!I6*('R0031_Gen2_Liberation'!$C$5/100)</f>
        <v>3.6993148555333755E-2</v>
      </c>
      <c r="J6" s="16">
        <f>'R0031_Gen2_Averages'!J6*('R0031_Gen2_Liberation'!$C$4/100)</f>
        <v>2.23022132153541E-2</v>
      </c>
      <c r="K6" s="16">
        <f>'R0031_Gen2_Averages'!K6*('R0031_Gen2_Liberation'!$C$4/100)</f>
        <v>2.3066167412970622E-2</v>
      </c>
      <c r="L6" s="16">
        <f>'R0031_Gen2_Averages'!L6*('R0031_Gen2_Liberation'!$C$3/100)</f>
        <v>4.1972940765179628E-2</v>
      </c>
      <c r="M6" s="16">
        <f>'R0031_Gen2_Averages'!M6*('R0031_Gen2_Liberation'!$C$3/100)</f>
        <v>4.2143390387476859E-2</v>
      </c>
      <c r="O6" s="16">
        <f t="shared" ref="O6:O9" si="1">B6+D6+F6+H6+J6+L6</f>
        <v>0.28205001988357098</v>
      </c>
      <c r="P6" s="16">
        <f t="shared" si="0"/>
        <v>7.3204152351025897E-2</v>
      </c>
    </row>
    <row r="7" spans="1:16" x14ac:dyDescent="0.25">
      <c r="A7" s="2" t="s">
        <v>14</v>
      </c>
      <c r="B7" s="16">
        <f>'R0031_Gen2_Averages'!B7*('R0031_Gen2_Liberation'!$C$8/100)</f>
        <v>1.0704015759319733E-2</v>
      </c>
      <c r="C7" s="16">
        <f>('R0031_Gen2_Averages'!C7)*('R0031_Gen2_Liberation'!$C$8/100)</f>
        <v>1.9006335129243253E-3</v>
      </c>
      <c r="D7" s="16">
        <f>'R0031_Gen2_Averages'!D7*('R0031_Gen2_Liberation'!$C$7/100)</f>
        <v>1.4081483415388986E-2</v>
      </c>
      <c r="E7" s="16">
        <f>'R0031_Gen2_Averages'!E7*('R0031_Gen2_Liberation'!$C$7/100)</f>
        <v>5.0717769933165012E-3</v>
      </c>
      <c r="F7" s="16">
        <f>'R0031_Gen2_Averages'!F7*('R0031_Gen2_Liberation'!$C$6/100)</f>
        <v>3.2423119113650097E-2</v>
      </c>
      <c r="G7" s="16">
        <f>'R0031_Gen2_Averages'!G7*('R0031_Gen2_Liberation'!$C$6/100)</f>
        <v>1.259772064753565E-2</v>
      </c>
      <c r="H7" s="16">
        <f>'R0031_Gen2_Averages'!H7*('R0031_Gen2_Liberation'!$C$5/100)</f>
        <v>2.4224999905097733E-2</v>
      </c>
      <c r="I7" s="16">
        <f>'R0031_Gen2_Averages'!I7*('R0031_Gen2_Liberation'!$C$5/100)</f>
        <v>1.9306902069429487E-2</v>
      </c>
      <c r="J7" s="16">
        <f>'R0031_Gen2_Averages'!J7*('R0031_Gen2_Liberation'!$C$4/100)</f>
        <v>0.14487619801978582</v>
      </c>
      <c r="K7" s="16">
        <f>'R0031_Gen2_Averages'!K7*('R0031_Gen2_Liberation'!$C$4/100)</f>
        <v>0.2044492264309494</v>
      </c>
      <c r="L7" s="16">
        <f>'R0031_Gen2_Averages'!L7*('R0031_Gen2_Liberation'!$C$3/100)</f>
        <v>8.9033892577459209E-2</v>
      </c>
      <c r="M7" s="16">
        <f>'R0031_Gen2_Averages'!M7*('R0031_Gen2_Liberation'!$C$3/100)</f>
        <v>4.4349895732572753E-2</v>
      </c>
      <c r="O7" s="16">
        <f t="shared" si="1"/>
        <v>0.31534370879070156</v>
      </c>
      <c r="P7" s="16">
        <f t="shared" si="0"/>
        <v>0.21054024271467903</v>
      </c>
    </row>
    <row r="8" spans="1:16" x14ac:dyDescent="0.25">
      <c r="A8" s="2" t="s">
        <v>15</v>
      </c>
      <c r="B8" s="16">
        <f>'R0031_Gen2_Averages'!B8*('R0031_Gen2_Liberation'!$C$8/100)</f>
        <v>3.7938794421910109E-2</v>
      </c>
      <c r="C8" s="16">
        <f>('R0031_Gen2_Averages'!C8)*('R0031_Gen2_Liberation'!$C$8/100)</f>
        <v>5.5427870914349885E-3</v>
      </c>
      <c r="D8" s="16">
        <f>'R0031_Gen2_Averages'!D8*('R0031_Gen2_Liberation'!$C$7/100)</f>
        <v>4.8306364615267522E-2</v>
      </c>
      <c r="E8" s="16">
        <f>'R0031_Gen2_Averages'!E8*('R0031_Gen2_Liberation'!$C$7/100)</f>
        <v>5.5593131835486994E-3</v>
      </c>
      <c r="F8" s="16">
        <f>'R0031_Gen2_Averages'!F8*('R0031_Gen2_Liberation'!$C$6/100)</f>
        <v>8.6133228999107372E-2</v>
      </c>
      <c r="G8" s="16">
        <f>'R0031_Gen2_Averages'!G8*('R0031_Gen2_Liberation'!$C$6/100)</f>
        <v>2.3454666503939448E-2</v>
      </c>
      <c r="H8" s="16">
        <f>'R0031_Gen2_Averages'!H8*('R0031_Gen2_Liberation'!$C$5/100)</f>
        <v>0.11619360117535288</v>
      </c>
      <c r="I8" s="16">
        <f>'R0031_Gen2_Averages'!I8*('R0031_Gen2_Liberation'!$C$5/100)</f>
        <v>7.7530916520213183E-2</v>
      </c>
      <c r="J8" s="16">
        <f>'R0031_Gen2_Averages'!J8*('R0031_Gen2_Liberation'!$C$4/100)</f>
        <v>2.7872583404604908E-2</v>
      </c>
      <c r="K8" s="16">
        <f>'R0031_Gen2_Averages'!K8*('R0031_Gen2_Liberation'!$C$4/100)</f>
        <v>1.746646457329688E-2</v>
      </c>
      <c r="L8" s="16">
        <f>'R0031_Gen2_Averages'!L8*('R0031_Gen2_Liberation'!$C$3/100)</f>
        <v>5.5854949290384932E-2</v>
      </c>
      <c r="M8" s="16">
        <f>'R0031_Gen2_Averages'!M8*('R0031_Gen2_Liberation'!$C$3/100)</f>
        <v>4.9257527336966499E-2</v>
      </c>
      <c r="O8" s="16">
        <f t="shared" si="1"/>
        <v>0.37229952190662774</v>
      </c>
      <c r="P8" s="16">
        <f t="shared" si="0"/>
        <v>9.6716980066228697E-2</v>
      </c>
    </row>
    <row r="9" spans="1:16" x14ac:dyDescent="0.25">
      <c r="A9" s="2" t="s">
        <v>16</v>
      </c>
      <c r="B9" s="16">
        <f>'R0031_Gen2_Averages'!B9*('R0031_Gen2_Liberation'!$C$8/100)</f>
        <v>0.24147871073067545</v>
      </c>
      <c r="C9" s="16">
        <f>('R0031_Gen2_Averages'!C9)*('R0031_Gen2_Liberation'!$C$8/100)</f>
        <v>1.3428042329018047E-2</v>
      </c>
      <c r="D9" s="16">
        <f>'R0031_Gen2_Averages'!D9*('R0031_Gen2_Liberation'!$C$7/100)</f>
        <v>0.33940914378160075</v>
      </c>
      <c r="E9" s="16">
        <f>'R0031_Gen2_Averages'!E9*('R0031_Gen2_Liberation'!$C$7/100)</f>
        <v>2.2437302283499005E-2</v>
      </c>
      <c r="F9" s="16">
        <f>'R0031_Gen2_Averages'!F9*('R0031_Gen2_Liberation'!$C$6/100)</f>
        <v>0.57248439728753564</v>
      </c>
      <c r="G9" s="16">
        <f>'R0031_Gen2_Averages'!G9*('R0031_Gen2_Liberation'!$C$6/100)</f>
        <v>7.7709229182515105E-2</v>
      </c>
      <c r="H9" s="16">
        <f>'R0031_Gen2_Averages'!H9*('R0031_Gen2_Liberation'!$C$5/100)</f>
        <v>0.67966293644826437</v>
      </c>
      <c r="I9" s="16">
        <f>'R0031_Gen2_Averages'!I9*('R0031_Gen2_Liberation'!$C$5/100)</f>
        <v>0.12080380835113978</v>
      </c>
      <c r="J9" s="16">
        <f>'R0031_Gen2_Averages'!J9*('R0031_Gen2_Liberation'!$C$4/100)</f>
        <v>0.66811850079699597</v>
      </c>
      <c r="K9" s="16">
        <f>'R0031_Gen2_Averages'!K9*('R0031_Gen2_Liberation'!$C$4/100)</f>
        <v>7.3451566307294824E-2</v>
      </c>
      <c r="L9" s="16">
        <f>'R0031_Gen2_Averages'!L9*('R0031_Gen2_Liberation'!$C$3/100)</f>
        <v>0.28461700459115663</v>
      </c>
      <c r="M9" s="16">
        <f>'R0031_Gen2_Averages'!M9*('R0031_Gen2_Liberation'!$C$3/100)</f>
        <v>5.0037481978867662E-2</v>
      </c>
      <c r="O9" s="16">
        <f t="shared" si="1"/>
        <v>2.7857706936362288</v>
      </c>
      <c r="P9" s="16">
        <f t="shared" si="0"/>
        <v>0.17092370070476184</v>
      </c>
    </row>
    <row r="10" spans="1:16" s="10" customFormat="1" x14ac:dyDescent="0.25">
      <c r="A10" s="14" t="s">
        <v>20</v>
      </c>
      <c r="B10" s="18">
        <f>'R0031_Gen2_Averages'!B10*('R0031_Gen2_Liberation'!$C$8/100)</f>
        <v>7.4329385756406099</v>
      </c>
      <c r="C10" s="18">
        <f>('R0031_Gen2_Averages'!C10)*('R0031_Gen2_Liberation'!$C$8/100)</f>
        <v>2.3026060757448626E-2</v>
      </c>
      <c r="D10" s="18">
        <f>'R0031_Gen2_Averages'!D10*('R0031_Gen2_Liberation'!$C$7/100)</f>
        <v>7.4523000184230561</v>
      </c>
      <c r="E10" s="18">
        <f>'R0031_Gen2_Averages'!E10*('R0031_Gen2_Liberation'!$C$7/100)</f>
        <v>3.7039310857346429E-2</v>
      </c>
      <c r="F10" s="18">
        <f>'R0031_Gen2_Averages'!F10*('R0031_Gen2_Liberation'!$C$6/100)</f>
        <v>13.617964722201883</v>
      </c>
      <c r="G10" s="18">
        <f>'R0031_Gen2_Averages'!G10*('R0031_Gen2_Liberation'!$C$6/100)</f>
        <v>9.0315638583040134E-2</v>
      </c>
      <c r="H10" s="18">
        <f>'R0031_Gen2_Averages'!H10*('R0031_Gen2_Liberation'!$C$5/100)</f>
        <v>19.573869793025551</v>
      </c>
      <c r="I10" s="18">
        <f>'R0031_Gen2_Averages'!I10*('R0031_Gen2_Liberation'!$C$5/100)</f>
        <v>0.22012325429670548</v>
      </c>
      <c r="J10" s="18">
        <f>'R0031_Gen2_Averages'!J10*('R0031_Gen2_Liberation'!$C$4/100)</f>
        <v>19.482095407057361</v>
      </c>
      <c r="K10" s="18">
        <f>'R0031_Gen2_Averages'!K10*('R0031_Gen2_Liberation'!$C$4/100)</f>
        <v>0.20621018310471942</v>
      </c>
      <c r="L10" s="18">
        <f>'R0031_Gen2_Averages'!L10*('R0031_Gen2_Liberation'!$C$3/100)</f>
        <v>8.4617762271668884</v>
      </c>
      <c r="M10" s="18">
        <f>'R0031_Gen2_Averages'!M10*('R0031_Gen2_Liberation'!$C$3/100)</f>
        <v>9.5491934663870542E-2</v>
      </c>
      <c r="O10" s="10">
        <f>B10+D10+F10+H10+J10+L10</f>
        <v>76.020944743515358</v>
      </c>
      <c r="P10" s="18">
        <f t="shared" si="0"/>
        <v>0.33189549692570108</v>
      </c>
    </row>
    <row r="11" spans="1:16" s="11" customFormat="1" x14ac:dyDescent="0.25">
      <c r="A11" s="15" t="s">
        <v>17</v>
      </c>
      <c r="B11" s="17">
        <f>'R0031_Gen2_Averages'!B11*('R0031_Gen2_Liberation'!$C$8/100)</f>
        <v>5.6243192732935734</v>
      </c>
      <c r="C11" s="17">
        <f>('R0031_Gen2_Averages'!C11)*('R0031_Gen2_Liberation'!$C$8/100)</f>
        <v>4.8364228497530005E-2</v>
      </c>
      <c r="D11" s="17">
        <f>'R0031_Gen2_Averages'!D11*('R0031_Gen2_Liberation'!$C$7/100)</f>
        <v>5.2901240446838536</v>
      </c>
      <c r="E11" s="17">
        <f>'R0031_Gen2_Averages'!E11*('R0031_Gen2_Liberation'!$C$7/100)</f>
        <v>5.627811496948347E-2</v>
      </c>
      <c r="F11" s="17">
        <f>'R0031_Gen2_Averages'!F11*('R0031_Gen2_Liberation'!$C$6/100)</f>
        <v>9.1773325443536535</v>
      </c>
      <c r="G11" s="17">
        <f>'R0031_Gen2_Averages'!G11*('R0031_Gen2_Liberation'!$C$6/100)</f>
        <v>0.14931631510016713</v>
      </c>
      <c r="H11" s="17">
        <f>'R0031_Gen2_Averages'!H11*('R0031_Gen2_Liberation'!$C$5/100)</f>
        <v>12.794273234448989</v>
      </c>
      <c r="I11" s="17">
        <f>'R0031_Gen2_Averages'!I11*('R0031_Gen2_Liberation'!$C$5/100)</f>
        <v>0.27777589170326039</v>
      </c>
      <c r="J11" s="17">
        <f>'R0031_Gen2_Averages'!J11*('R0031_Gen2_Liberation'!$C$4/100)</f>
        <v>10.250280705162714</v>
      </c>
      <c r="K11" s="17">
        <f>'R0031_Gen2_Averages'!K11*('R0031_Gen2_Liberation'!$C$4/100)</f>
        <v>0.41558010050880134</v>
      </c>
      <c r="L11" s="17">
        <f>'R0031_Gen2_Averages'!L11*('R0031_Gen2_Liberation'!$C$3/100)</f>
        <v>3.5957342079526708</v>
      </c>
      <c r="M11" s="17">
        <f>'R0031_Gen2_Averages'!M11*('R0031_Gen2_Liberation'!$C$3/100)</f>
        <v>0.32002215063873701</v>
      </c>
      <c r="O11" s="11">
        <f>B11+D11+F11+H11+J11+L11</f>
        <v>46.73206400989546</v>
      </c>
      <c r="P11" s="17">
        <f t="shared" si="0"/>
        <v>0.6165080126224326</v>
      </c>
    </row>
    <row r="12" spans="1:16" x14ac:dyDescent="0.25">
      <c r="A12" s="2" t="s">
        <v>8</v>
      </c>
      <c r="B12" s="16">
        <f>'R0031_Gen2_Averages'!B12*('R0031_Gen2_Liberation'!$C$8/100)</f>
        <v>5.472952095382718</v>
      </c>
      <c r="C12" s="16">
        <f>('R0031_Gen2_Averages'!C12)*('R0031_Gen2_Liberation'!$C$8/100)</f>
        <v>1.8629040304904542E-2</v>
      </c>
      <c r="D12" s="16">
        <f>'R0031_Gen2_Averages'!D12*('R0031_Gen2_Liberation'!$C$7/100)</f>
        <v>5.1072859796189807</v>
      </c>
      <c r="E12" s="16">
        <f>'R0031_Gen2_Averages'!E12*('R0031_Gen2_Liberation'!$C$7/100)</f>
        <v>3.725850906186115E-2</v>
      </c>
      <c r="F12" s="16">
        <f>'R0031_Gen2_Averages'!F12*('R0031_Gen2_Liberation'!$C$6/100)</f>
        <v>8.8227497954461178</v>
      </c>
      <c r="G12" s="16">
        <f>'R0031_Gen2_Averages'!G12*('R0031_Gen2_Liberation'!$C$6/100)</f>
        <v>0.17555080022328626</v>
      </c>
      <c r="H12" s="16">
        <f>'R0031_Gen2_Averages'!H12*('R0031_Gen2_Liberation'!$C$5/100)</f>
        <v>11.855657282477729</v>
      </c>
      <c r="I12" s="16">
        <f>'R0031_Gen2_Averages'!I12*('R0031_Gen2_Liberation'!$C$5/100)</f>
        <v>0.42606279870902752</v>
      </c>
      <c r="J12" s="16">
        <f>'R0031_Gen2_Averages'!J12*('R0031_Gen2_Liberation'!$C$4/100)</f>
        <v>9.4692319058035785</v>
      </c>
      <c r="K12" s="16">
        <f>'R0031_Gen2_Averages'!K12*('R0031_Gen2_Liberation'!$C$4/100)</f>
        <v>0.31731265906943523</v>
      </c>
      <c r="L12" s="16">
        <f>'R0031_Gen2_Averages'!L12*('R0031_Gen2_Liberation'!$C$3/100)</f>
        <v>2.9631707251256234</v>
      </c>
      <c r="M12" s="16">
        <f>'R0031_Gen2_Averages'!M12*('R0031_Gen2_Liberation'!$C$3/100)</f>
        <v>0.21505030471697575</v>
      </c>
      <c r="O12" s="16">
        <f t="shared" ref="O12:O16" si="2">B12+D12+F12+H12+J12+L12</f>
        <v>43.691047783854742</v>
      </c>
      <c r="P12" s="16">
        <f t="shared" si="0"/>
        <v>0.60084672480390522</v>
      </c>
    </row>
    <row r="13" spans="1:16" x14ac:dyDescent="0.25">
      <c r="A13" s="2" t="s">
        <v>6</v>
      </c>
      <c r="B13" s="16">
        <f>'R0031_Gen2_Averages'!B13*('R0031_Gen2_Liberation'!$C$8/100)</f>
        <v>9.510690644512601E-2</v>
      </c>
      <c r="C13" s="16">
        <f>('R0031_Gen2_Averages'!C13)*('R0031_Gen2_Liberation'!$C$8/100)</f>
        <v>2.0736480762301425E-2</v>
      </c>
      <c r="D13" s="16">
        <f>'R0031_Gen2_Averages'!D13*('R0031_Gen2_Liberation'!$C$7/100)</f>
        <v>0.11365605881129225</v>
      </c>
      <c r="E13" s="16">
        <f>'R0031_Gen2_Averages'!E13*('R0031_Gen2_Liberation'!$C$7/100)</f>
        <v>2.7645139956724171E-2</v>
      </c>
      <c r="F13" s="16">
        <f>'R0031_Gen2_Averages'!F13*('R0031_Gen2_Liberation'!$C$6/100)</f>
        <v>0.14166805870519197</v>
      </c>
      <c r="G13" s="16">
        <f>'R0031_Gen2_Averages'!G13*('R0031_Gen2_Liberation'!$C$6/100)</f>
        <v>2.2926283841678052E-2</v>
      </c>
      <c r="H13" s="16">
        <f>'R0031_Gen2_Averages'!H13*('R0031_Gen2_Liberation'!$C$5/100)</f>
        <v>0.35749070304248959</v>
      </c>
      <c r="I13" s="16">
        <f>'R0031_Gen2_Averages'!I13*('R0031_Gen2_Liberation'!$C$5/100)</f>
        <v>0.10689951813258937</v>
      </c>
      <c r="J13" s="16">
        <f>'R0031_Gen2_Averages'!J13*('R0031_Gen2_Liberation'!$C$4/100)</f>
        <v>4.0014712458882454E-2</v>
      </c>
      <c r="K13" s="16">
        <f>'R0031_Gen2_Averages'!K13*('R0031_Gen2_Liberation'!$C$4/100)</f>
        <v>2.8218136678592052E-2</v>
      </c>
      <c r="L13" s="16">
        <f>'R0031_Gen2_Averages'!L13*('R0031_Gen2_Liberation'!$C$3/100)</f>
        <v>1.8045209639894609E-2</v>
      </c>
      <c r="M13" s="16">
        <f>'R0031_Gen2_Averages'!M13*('R0031_Gen2_Liberation'!$C$3/100)</f>
        <v>1.3832645444794053E-2</v>
      </c>
      <c r="O13" s="16">
        <f t="shared" si="2"/>
        <v>0.76598164910287692</v>
      </c>
      <c r="P13" s="16">
        <f t="shared" si="0"/>
        <v>0.11889063118267242</v>
      </c>
    </row>
    <row r="14" spans="1:16" x14ac:dyDescent="0.25">
      <c r="A14" s="2" t="s">
        <v>14</v>
      </c>
      <c r="B14" s="16">
        <f>'R0031_Gen2_Averages'!B14*('R0031_Gen2_Liberation'!$C$8/100)</f>
        <v>2.1986230884585848E-2</v>
      </c>
      <c r="C14" s="16">
        <f>('R0031_Gen2_Averages'!C14)*('R0031_Gen2_Liberation'!$C$8/100)</f>
        <v>6.5944148197145695E-3</v>
      </c>
      <c r="D14" s="16">
        <f>'R0031_Gen2_Averages'!D14*('R0031_Gen2_Liberation'!$C$7/100)</f>
        <v>4.6932091882901018E-2</v>
      </c>
      <c r="E14" s="16">
        <f>'R0031_Gen2_Averages'!E14*('R0031_Gen2_Liberation'!$C$7/100)</f>
        <v>5.8939451863003582E-3</v>
      </c>
      <c r="F14" s="16">
        <f>'R0031_Gen2_Averages'!F14*('R0031_Gen2_Liberation'!$C$6/100)</f>
        <v>0.17535117401241457</v>
      </c>
      <c r="G14" s="16">
        <f>'R0031_Gen2_Averages'!G14*('R0031_Gen2_Liberation'!$C$6/100)</f>
        <v>6.8199343868400333E-2</v>
      </c>
      <c r="H14" s="16">
        <f>'R0031_Gen2_Averages'!H14*('R0031_Gen2_Liberation'!$C$5/100)</f>
        <v>0.49304808212009532</v>
      </c>
      <c r="I14" s="16">
        <f>'R0031_Gen2_Averages'!I14*('R0031_Gen2_Liberation'!$C$5/100)</f>
        <v>0.22319417707800698</v>
      </c>
      <c r="J14" s="16">
        <f>'R0031_Gen2_Averages'!J14*('R0031_Gen2_Liberation'!$C$4/100)</f>
        <v>0.71474946000442385</v>
      </c>
      <c r="K14" s="16">
        <f>'R0031_Gen2_Averages'!K14*('R0031_Gen2_Liberation'!$C$4/100)</f>
        <v>0.38004058904603238</v>
      </c>
      <c r="L14" s="16">
        <f>'R0031_Gen2_Averages'!L14*('R0031_Gen2_Liberation'!$C$3/100)</f>
        <v>0.5370927676801972</v>
      </c>
      <c r="M14" s="16">
        <f>'R0031_Gen2_Averages'!M14*('R0031_Gen2_Liberation'!$C$3/100)</f>
        <v>0.27621740902858538</v>
      </c>
      <c r="O14" s="16">
        <f t="shared" si="2"/>
        <v>1.9891598065846177</v>
      </c>
      <c r="P14" s="16">
        <f t="shared" si="0"/>
        <v>0.5246636279133543</v>
      </c>
    </row>
    <row r="15" spans="1:16" x14ac:dyDescent="0.25">
      <c r="A15" s="2" t="s">
        <v>15</v>
      </c>
      <c r="B15" s="16">
        <f>'R0031_Gen2_Averages'!B15*('R0031_Gen2_Liberation'!$C$8/100)</f>
        <v>1.5610624093061586E-2</v>
      </c>
      <c r="C15" s="16">
        <f>('R0031_Gen2_Averages'!C15)*('R0031_Gen2_Liberation'!$C$8/100)</f>
        <v>2.2014708851363595E-2</v>
      </c>
      <c r="D15" s="16">
        <f>'R0031_Gen2_Averages'!D15*('R0031_Gen2_Liberation'!$C$7/100)</f>
        <v>1.7631103049802331E-2</v>
      </c>
      <c r="E15" s="16">
        <f>'R0031_Gen2_Averages'!E15*('R0031_Gen2_Liberation'!$C$7/100)</f>
        <v>1.4351926266960599E-2</v>
      </c>
      <c r="F15" s="16">
        <f>'R0031_Gen2_Averages'!F15*('R0031_Gen2_Liberation'!$C$6/100)</f>
        <v>2.8660156253294728E-2</v>
      </c>
      <c r="G15" s="16">
        <f>'R0031_Gen2_Averages'!G15*('R0031_Gen2_Liberation'!$C$6/100)</f>
        <v>8.9438735834969901E-3</v>
      </c>
      <c r="H15" s="16">
        <f>'R0031_Gen2_Averages'!H15*('R0031_Gen2_Liberation'!$C$5/100)</f>
        <v>4.1533848577231247E-2</v>
      </c>
      <c r="I15" s="16">
        <f>'R0031_Gen2_Averages'!I15*('R0031_Gen2_Liberation'!$C$5/100)</f>
        <v>6.7745465047189821E-3</v>
      </c>
      <c r="J15" s="16">
        <f>'R0031_Gen2_Averages'!J15*('R0031_Gen2_Liberation'!$C$4/100)</f>
        <v>1.7957926504205815E-2</v>
      </c>
      <c r="K15" s="16">
        <f>'R0031_Gen2_Averages'!K15*('R0031_Gen2_Liberation'!$C$4/100)</f>
        <v>3.1104041103872229E-2</v>
      </c>
      <c r="L15" s="16">
        <f>'R0031_Gen2_Averages'!L15*('R0031_Gen2_Liberation'!$C$3/100)</f>
        <v>7.7425505506955927E-2</v>
      </c>
      <c r="M15" s="16">
        <f>'R0031_Gen2_Averages'!M15*('R0031_Gen2_Liberation'!$C$3/100)</f>
        <v>0.12359580218915972</v>
      </c>
      <c r="O15" s="16">
        <f t="shared" si="2"/>
        <v>0.19881916398455163</v>
      </c>
      <c r="P15" s="16">
        <f t="shared" si="0"/>
        <v>0.13061353773701265</v>
      </c>
    </row>
    <row r="16" spans="1:16" x14ac:dyDescent="0.25">
      <c r="A16" s="2" t="s">
        <v>16</v>
      </c>
      <c r="B16" s="16">
        <f>'R0031_Gen2_Averages'!B16*('R0031_Gen2_Liberation'!$C$8/100)</f>
        <v>1.6311839185828705E-2</v>
      </c>
      <c r="C16" s="16">
        <f>('R0031_Gen2_Averages'!C16)*('R0031_Gen2_Liberation'!$C$8/100)</f>
        <v>1.8516384087647612E-2</v>
      </c>
      <c r="D16" s="16">
        <f>'R0031_Gen2_Averages'!D16*('R0031_Gen2_Liberation'!$C$7/100)</f>
        <v>4.6188113208771326E-3</v>
      </c>
      <c r="E16" s="16">
        <f>'R0031_Gen2_Averages'!E16*('R0031_Gen2_Liberation'!$C$7/100)</f>
        <v>3.7884610622648707E-3</v>
      </c>
      <c r="F16" s="16">
        <f>'R0031_Gen2_Averages'!F16*('R0031_Gen2_Liberation'!$C$6/100)</f>
        <v>8.9033599366345681E-3</v>
      </c>
      <c r="G16" s="16">
        <f>'R0031_Gen2_Averages'!G16*('R0031_Gen2_Liberation'!$C$6/100)</f>
        <v>3.0664327398963256E-3</v>
      </c>
      <c r="H16" s="16">
        <f>'R0031_Gen2_Averages'!H16*('R0031_Gen2_Liberation'!$C$5/100)</f>
        <v>4.6543318231441415E-2</v>
      </c>
      <c r="I16" s="16">
        <f>'R0031_Gen2_Averages'!I16*('R0031_Gen2_Liberation'!$C$5/100)</f>
        <v>6.1310012636990603E-2</v>
      </c>
      <c r="J16" s="16">
        <f>'R0031_Gen2_Averages'!J16*('R0031_Gen2_Liberation'!$C$4/100)</f>
        <v>8.3267003916223329E-3</v>
      </c>
      <c r="K16" s="16">
        <f>'R0031_Gen2_Averages'!K16*('R0031_Gen2_Liberation'!$C$4/100)</f>
        <v>7.038732860973629E-3</v>
      </c>
      <c r="L16" s="16">
        <f>'R0031_Gen2_Averages'!L16*('R0031_Gen2_Liberation'!$C$3/100)</f>
        <v>0</v>
      </c>
      <c r="M16" s="16">
        <f>'R0031_Gen2_Averages'!M16*('R0031_Gen2_Liberation'!$C$3/100)</f>
        <v>0</v>
      </c>
      <c r="O16" s="16">
        <f t="shared" si="2"/>
        <v>8.470402906640416E-2</v>
      </c>
      <c r="P16" s="16">
        <f t="shared" si="0"/>
        <v>6.4614807408874889E-2</v>
      </c>
    </row>
    <row r="17" spans="1:23" s="20" customFormat="1" x14ac:dyDescent="0.25">
      <c r="A17" s="12" t="s">
        <v>18</v>
      </c>
      <c r="B17" s="19">
        <f>'R0031_Gen2_Averages'!B17*('R0031_Gen2_Liberation'!$C$8/100)</f>
        <v>1.8086193023470358</v>
      </c>
      <c r="C17" s="19">
        <f>('R0031_Gen2_Averages'!C17)*('R0031_Gen2_Liberation'!$C$8/100)</f>
        <v>4.9351392121739876E-2</v>
      </c>
      <c r="D17" s="19">
        <f>'R0031_Gen2_Averages'!D17*('R0031_Gen2_Liberation'!$C$7/100)</f>
        <v>2.162175973739203</v>
      </c>
      <c r="E17" s="19">
        <f>'R0031_Gen2_Averages'!E17*('R0031_Gen2_Liberation'!$C$7/100)</f>
        <v>6.0253716854593263E-2</v>
      </c>
      <c r="F17" s="19">
        <f>'R0031_Gen2_Averages'!F17*('R0031_Gen2_Liberation'!$C$6/100)</f>
        <v>4.4406321778482285</v>
      </c>
      <c r="G17" s="19">
        <f>'R0031_Gen2_Averages'!G17*('R0031_Gen2_Liberation'!$C$6/100)</f>
        <v>0.18806656095363558</v>
      </c>
      <c r="H17" s="19">
        <f>'R0031_Gen2_Averages'!H17*('R0031_Gen2_Liberation'!$C$5/100)</f>
        <v>6.7795965585765599</v>
      </c>
      <c r="I17" s="19">
        <f>'R0031_Gen2_Averages'!I17*('R0031_Gen2_Liberation'!$C$5/100)</f>
        <v>0.27014136708054892</v>
      </c>
      <c r="J17" s="19">
        <f>'R0031_Gen2_Averages'!J17*('R0031_Gen2_Liberation'!$C$4/100)</f>
        <v>9.2318147018946473</v>
      </c>
      <c r="K17" s="19">
        <f>'R0031_Gen2_Averages'!K17*('R0031_Gen2_Liberation'!$C$4/100)</f>
        <v>0.43458734554334816</v>
      </c>
      <c r="L17" s="19">
        <f>'R0031_Gen2_Averages'!L17*('R0031_Gen2_Liberation'!$C$3/100)</f>
        <v>4.8660420192142162</v>
      </c>
      <c r="M17" s="19">
        <f>'R0031_Gen2_Averages'!M17*('R0031_Gen2_Liberation'!$C$3/100)</f>
        <v>0.3709917849740279</v>
      </c>
      <c r="O17" s="20">
        <f>B17+D17+F17+H17+J17+L17</f>
        <v>29.288880733619894</v>
      </c>
      <c r="P17" s="19">
        <f t="shared" si="0"/>
        <v>0.66401244361898182</v>
      </c>
    </row>
    <row r="18" spans="1:23" x14ac:dyDescent="0.25">
      <c r="A18" s="2" t="s">
        <v>8</v>
      </c>
      <c r="B18" s="16">
        <f>'R0031_Gen2_Averages'!B18*('R0031_Gen2_Liberation'!$C$8/100)</f>
        <v>4.2545312668109412E-3</v>
      </c>
      <c r="C18" s="16">
        <f>('R0031_Gen2_Averages'!C18)*('R0031_Gen2_Liberation'!$C$8/100)</f>
        <v>2.5127028236380565E-3</v>
      </c>
      <c r="D18" s="16">
        <f>'R0031_Gen2_Averages'!D18*('R0031_Gen2_Liberation'!$C$7/100)</f>
        <v>4.2975807762720541E-3</v>
      </c>
      <c r="E18" s="16">
        <f>'R0031_Gen2_Averages'!E18*('R0031_Gen2_Liberation'!$C$7/100)</f>
        <v>2.1836051995028044E-3</v>
      </c>
      <c r="F18" s="16">
        <f>'R0031_Gen2_Averages'!F18*('R0031_Gen2_Liberation'!$C$6/100)</f>
        <v>2.2860568476969385E-2</v>
      </c>
      <c r="G18" s="16">
        <f>'R0031_Gen2_Averages'!G18*('R0031_Gen2_Liberation'!$C$6/100)</f>
        <v>1.1945633508902665E-2</v>
      </c>
      <c r="H18" s="16">
        <f>'R0031_Gen2_Averages'!H18*('R0031_Gen2_Liberation'!$C$5/100)</f>
        <v>0.18956363820591313</v>
      </c>
      <c r="I18" s="16">
        <f>'R0031_Gen2_Averages'!I18*('R0031_Gen2_Liberation'!$C$5/100)</f>
        <v>0.10380383814342738</v>
      </c>
      <c r="J18" s="16">
        <f>'R0031_Gen2_Averages'!J18*('R0031_Gen2_Liberation'!$C$4/100)</f>
        <v>0.70430352288840048</v>
      </c>
      <c r="K18" s="16">
        <f>'R0031_Gen2_Averages'!K18*('R0031_Gen2_Liberation'!$C$4/100)</f>
        <v>0.26871011142542045</v>
      </c>
      <c r="L18" s="16">
        <f>'R0031_Gen2_Averages'!L18*('R0031_Gen2_Liberation'!$C$3/100)</f>
        <v>0.33600812402429742</v>
      </c>
      <c r="M18" s="16">
        <f>'R0031_Gen2_Averages'!M18*('R0031_Gen2_Liberation'!$C$3/100)</f>
        <v>4.396951458642024E-2</v>
      </c>
      <c r="O18" s="16">
        <f t="shared" ref="O18:O22" si="3">B18+D18+F18+H18+J18+L18</f>
        <v>1.2612879656386633</v>
      </c>
      <c r="P18" s="16">
        <f t="shared" si="0"/>
        <v>0.29166326298594825</v>
      </c>
    </row>
    <row r="19" spans="1:23" x14ac:dyDescent="0.25">
      <c r="A19" s="2" t="s">
        <v>6</v>
      </c>
      <c r="B19" s="16">
        <f>'R0031_Gen2_Averages'!B19*('R0031_Gen2_Liberation'!$C$8/100)</f>
        <v>1.7606209519808427</v>
      </c>
      <c r="C19" s="16">
        <f>('R0031_Gen2_Averages'!C19)*('R0031_Gen2_Liberation'!$C$8/100)</f>
        <v>5.0380329269633504E-2</v>
      </c>
      <c r="D19" s="16">
        <f>'R0031_Gen2_Averages'!D19*('R0031_Gen2_Liberation'!$C$7/100)</f>
        <v>2.0756497066284676</v>
      </c>
      <c r="E19" s="16">
        <f>'R0031_Gen2_Averages'!E19*('R0031_Gen2_Liberation'!$C$7/100)</f>
        <v>6.5715617343331076E-2</v>
      </c>
      <c r="F19" s="16">
        <f>'R0031_Gen2_Averages'!F19*('R0031_Gen2_Liberation'!$C$6/100)</f>
        <v>4.0805670142448189</v>
      </c>
      <c r="G19" s="16">
        <f>'R0031_Gen2_Averages'!G19*('R0031_Gen2_Liberation'!$C$6/100)</f>
        <v>0.17911977446781507</v>
      </c>
      <c r="H19" s="16">
        <f>'R0031_Gen2_Averages'!H19*('R0031_Gen2_Liberation'!$C$5/100)</f>
        <v>5.7763634817310221</v>
      </c>
      <c r="I19" s="16">
        <f>'R0031_Gen2_Averages'!I19*('R0031_Gen2_Liberation'!$C$5/100)</f>
        <v>0.17864566774333795</v>
      </c>
      <c r="J19" s="16">
        <f>'R0031_Gen2_Averages'!J19*('R0031_Gen2_Liberation'!$C$4/100)</f>
        <v>6.6672277904405322</v>
      </c>
      <c r="K19" s="16">
        <f>'R0031_Gen2_Averages'!K19*('R0031_Gen2_Liberation'!$C$4/100)</f>
        <v>0.37426232925783548</v>
      </c>
      <c r="L19" s="16">
        <f>'R0031_Gen2_Averages'!L19*('R0031_Gen2_Liberation'!$C$3/100)</f>
        <v>2.5167131442264075</v>
      </c>
      <c r="M19" s="16">
        <f>'R0031_Gen2_Averages'!M19*('R0031_Gen2_Liberation'!$C$3/100)</f>
        <v>0.16347757273230781</v>
      </c>
      <c r="O19" s="16">
        <f t="shared" si="3"/>
        <v>22.877142089252089</v>
      </c>
      <c r="P19" s="16">
        <f t="shared" si="0"/>
        <v>0.48749573950645281</v>
      </c>
    </row>
    <row r="20" spans="1:23" x14ac:dyDescent="0.25">
      <c r="A20" s="2" t="s">
        <v>14</v>
      </c>
      <c r="B20" s="16">
        <f>'R0031_Gen2_Averages'!B20*('R0031_Gen2_Liberation'!$C$8/100)</f>
        <v>7.9158682490374638E-3</v>
      </c>
      <c r="C20" s="16">
        <f>('R0031_Gen2_Averages'!C20)*('R0031_Gen2_Liberation'!$C$8/100)</f>
        <v>2.5927762035902953E-4</v>
      </c>
      <c r="D20" s="16">
        <f>'R0031_Gen2_Averages'!D20*('R0031_Gen2_Liberation'!$C$7/100)</f>
        <v>2.5123500152869561E-2</v>
      </c>
      <c r="E20" s="16">
        <f>'R0031_Gen2_Averages'!E20*('R0031_Gen2_Liberation'!$C$7/100)</f>
        <v>4.3633077943793508E-3</v>
      </c>
      <c r="F20" s="16">
        <f>'R0031_Gen2_Averages'!F20*('R0031_Gen2_Liberation'!$C$6/100)</f>
        <v>0.1153252092121306</v>
      </c>
      <c r="G20" s="16">
        <f>'R0031_Gen2_Averages'!G20*('R0031_Gen2_Liberation'!$C$6/100)</f>
        <v>1.7058235044690701E-2</v>
      </c>
      <c r="H20" s="16">
        <f>'R0031_Gen2_Averages'!H20*('R0031_Gen2_Liberation'!$C$5/100)</f>
        <v>0.37133227056810503</v>
      </c>
      <c r="I20" s="16">
        <f>'R0031_Gen2_Averages'!I20*('R0031_Gen2_Liberation'!$C$5/100)</f>
        <v>0.12711634376061492</v>
      </c>
      <c r="J20" s="16">
        <f>'R0031_Gen2_Averages'!J20*('R0031_Gen2_Liberation'!$C$4/100)</f>
        <v>0.99779628525951747</v>
      </c>
      <c r="K20" s="16">
        <f>'R0031_Gen2_Averages'!K20*('R0031_Gen2_Liberation'!$C$4/100)</f>
        <v>0.31141121309171327</v>
      </c>
      <c r="L20" s="16">
        <f>'R0031_Gen2_Averages'!L20*('R0031_Gen2_Liberation'!$C$3/100)</f>
        <v>1.1407027612814644</v>
      </c>
      <c r="M20" s="16">
        <f>'R0031_Gen2_Averages'!M20*('R0031_Gen2_Liberation'!$C$3/100)</f>
        <v>0.20577790887309699</v>
      </c>
      <c r="O20" s="16">
        <f t="shared" si="3"/>
        <v>2.6581958947231246</v>
      </c>
      <c r="P20" s="16">
        <f t="shared" si="0"/>
        <v>0.39470260365639437</v>
      </c>
    </row>
    <row r="21" spans="1:23" x14ac:dyDescent="0.25">
      <c r="A21" s="2" t="s">
        <v>15</v>
      </c>
      <c r="B21" s="16">
        <f>'R0031_Gen2_Averages'!B21*('R0031_Gen2_Liberation'!$C$8/100)</f>
        <v>2.6147349832350709E-2</v>
      </c>
      <c r="C21" s="16">
        <f>('R0031_Gen2_Averages'!C21)*('R0031_Gen2_Liberation'!$C$8/100)</f>
        <v>5.1600289245303061E-3</v>
      </c>
      <c r="D21" s="16">
        <f>'R0031_Gen2_Averages'!D21*('R0031_Gen2_Liberation'!$C$7/100)</f>
        <v>5.1552658308881352E-2</v>
      </c>
      <c r="E21" s="16">
        <f>'R0031_Gen2_Averages'!E21*('R0031_Gen2_Liberation'!$C$7/100)</f>
        <v>1.2473746812288293E-2</v>
      </c>
      <c r="F21" s="16">
        <f>'R0031_Gen2_Averages'!F21*('R0031_Gen2_Liberation'!$C$6/100)</f>
        <v>0.17359291958444081</v>
      </c>
      <c r="G21" s="16">
        <f>'R0031_Gen2_Averages'!G21*('R0031_Gen2_Liberation'!$C$6/100)</f>
        <v>3.6518273829447626E-2</v>
      </c>
      <c r="H21" s="16">
        <f>'R0031_Gen2_Averages'!H21*('R0031_Gen2_Liberation'!$C$5/100)</f>
        <v>0.34284424778252565</v>
      </c>
      <c r="I21" s="16">
        <f>'R0031_Gen2_Averages'!I21*('R0031_Gen2_Liberation'!$C$5/100)</f>
        <v>7.1010595394689666E-2</v>
      </c>
      <c r="J21" s="16">
        <f>'R0031_Gen2_Averages'!J21*('R0031_Gen2_Liberation'!$C$4/100)</f>
        <v>0.75088799436615039</v>
      </c>
      <c r="K21" s="16">
        <f>'R0031_Gen2_Averages'!K21*('R0031_Gen2_Liberation'!$C$4/100)</f>
        <v>1.826609478978709E-2</v>
      </c>
      <c r="L21" s="16">
        <f>'R0031_Gen2_Averages'!L21*('R0031_Gen2_Liberation'!$C$3/100)</f>
        <v>0.8574185939388943</v>
      </c>
      <c r="M21" s="16">
        <f>'R0031_Gen2_Averages'!M21*('R0031_Gen2_Liberation'!$C$3/100)</f>
        <v>0.1353992479615086</v>
      </c>
      <c r="O21" s="16">
        <f t="shared" si="3"/>
        <v>2.2024437638132435</v>
      </c>
      <c r="P21" s="16">
        <f t="shared" si="0"/>
        <v>0.1588235366916424</v>
      </c>
    </row>
    <row r="22" spans="1:23" x14ac:dyDescent="0.25">
      <c r="A22" s="2" t="s">
        <v>16</v>
      </c>
      <c r="B22" s="16">
        <f>'R0031_Gen2_Averages'!B22*('R0031_Gen2_Liberation'!$C$8/100)</f>
        <v>9.6806010179938118E-3</v>
      </c>
      <c r="C22" s="16">
        <f>('R0031_Gen2_Averages'!C22)*('R0031_Gen2_Liberation'!$C$8/100)</f>
        <v>1.5760361900861058E-3</v>
      </c>
      <c r="D22" s="16">
        <f>'R0031_Gen2_Averages'!D22*('R0031_Gen2_Liberation'!$C$7/100)</f>
        <v>5.5525278727121931E-3</v>
      </c>
      <c r="E22" s="16">
        <f>'R0031_Gen2_Averages'!E22*('R0031_Gen2_Liberation'!$C$7/100)</f>
        <v>2.7995896147333926E-3</v>
      </c>
      <c r="F22" s="16">
        <f>'R0031_Gen2_Averages'!F22*('R0031_Gen2_Liberation'!$C$6/100)</f>
        <v>4.828646632986934E-2</v>
      </c>
      <c r="G22" s="16">
        <f>'R0031_Gen2_Averages'!G22*('R0031_Gen2_Liberation'!$C$6/100)</f>
        <v>1.3595338697709703E-2</v>
      </c>
      <c r="H22" s="16">
        <f>'R0031_Gen2_Averages'!H22*('R0031_Gen2_Liberation'!$C$5/100)</f>
        <v>9.949292028899516E-2</v>
      </c>
      <c r="I22" s="16">
        <f>'R0031_Gen2_Averages'!I22*('R0031_Gen2_Liberation'!$C$5/100)</f>
        <v>6.681249831925562E-2</v>
      </c>
      <c r="J22" s="16">
        <f>'R0031_Gen2_Averages'!J22*('R0031_Gen2_Liberation'!$C$4/100)</f>
        <v>0.11159910894004585</v>
      </c>
      <c r="K22" s="16">
        <f>'R0031_Gen2_Averages'!K22*('R0031_Gen2_Liberation'!$C$4/100)</f>
        <v>2.5392181555023867E-2</v>
      </c>
      <c r="L22" s="16">
        <f>'R0031_Gen2_Averages'!L22*('R0031_Gen2_Liberation'!$C$3/100)</f>
        <v>1.519939574315312E-2</v>
      </c>
      <c r="M22" s="16">
        <f>'R0031_Gen2_Averages'!M22*('R0031_Gen2_Liberation'!$C$3/100)</f>
        <v>7.712368729835487E-3</v>
      </c>
      <c r="O22" s="16">
        <f t="shared" si="3"/>
        <v>0.2898110201927695</v>
      </c>
      <c r="P22" s="16">
        <f t="shared" si="0"/>
        <v>7.3234611172570602E-2</v>
      </c>
    </row>
    <row r="25" spans="1:23" ht="15.75" thickBot="1" x14ac:dyDescent="0.3">
      <c r="B25" t="s">
        <v>57</v>
      </c>
      <c r="C25" t="s">
        <v>37</v>
      </c>
      <c r="D25" t="s">
        <v>58</v>
      </c>
      <c r="E25" s="16" t="s">
        <v>59</v>
      </c>
      <c r="F25" t="s">
        <v>60</v>
      </c>
      <c r="G25" t="s">
        <v>61</v>
      </c>
      <c r="I25" t="s">
        <v>119</v>
      </c>
      <c r="J25" t="s">
        <v>63</v>
      </c>
      <c r="K25" t="s">
        <v>64</v>
      </c>
      <c r="L25" t="s">
        <v>63</v>
      </c>
      <c r="N25" t="s">
        <v>120</v>
      </c>
      <c r="O25">
        <f>O3</f>
        <v>79.963126358069417</v>
      </c>
      <c r="Q25" t="s">
        <v>121</v>
      </c>
      <c r="T25" t="s">
        <v>199</v>
      </c>
    </row>
    <row r="26" spans="1:23" ht="15.75" thickBot="1" x14ac:dyDescent="0.3">
      <c r="A26" s="2" t="str">
        <f>'R0030_LFP_Liberation'!A18</f>
        <v>Cathode</v>
      </c>
      <c r="B26">
        <f>'R0031_Gen2_Liberation'!D18</f>
        <v>0.45537040092393993</v>
      </c>
      <c r="C26">
        <f>B26*100</f>
        <v>45.537040092393994</v>
      </c>
      <c r="D26">
        <f>'R0031_Gen2_Liberation'!F18*100</f>
        <v>0</v>
      </c>
      <c r="E26">
        <f>C26</f>
        <v>45.537040092393994</v>
      </c>
      <c r="F26">
        <f>O5+O12+O18</f>
        <v>45.139053419830333</v>
      </c>
      <c r="G26">
        <f>SQRT(SUMSQ(C5,E5,G5,I5,K5,M5,C12,E12,G12,I12,K12,M12,C18,E18,G18,I18,K18,M18))</f>
        <v>0.67149075530339819</v>
      </c>
      <c r="I26">
        <f>E26-F26</f>
        <v>0.39798667256366116</v>
      </c>
      <c r="J26">
        <f>SQRT(SUMSQ(D26,G26))</f>
        <v>0.67149075530339819</v>
      </c>
      <c r="K26">
        <f>(E26/$E$34)*100-F26</f>
        <v>8.0230653602659672</v>
      </c>
      <c r="L26">
        <f>SQRT((100*SQRT((D26/E26)^2+($E$35/$E$34)^2))^2+G26^2)</f>
        <v>1.2230048033020289</v>
      </c>
      <c r="N26" t="s">
        <v>56</v>
      </c>
      <c r="O26" s="33">
        <f>O5+O6+O8+O9+O12+O13+O15+O16+O18+O19+O21+O22</f>
        <v>74.998075370668701</v>
      </c>
      <c r="Q26">
        <f>K26/$K$34</f>
        <v>0.3208979100294389</v>
      </c>
      <c r="R26">
        <f>SQRT((SQRT(SUMSQ(L$26:L$29))/SUM(K$26:K$29))^2+(L26/K26)^2)*Q26</f>
        <v>5.6681891622967724E-2</v>
      </c>
      <c r="T26" s="79">
        <f>E26/$E$34</f>
        <v>0.53162118780096301</v>
      </c>
      <c r="U26" s="95">
        <f>F26/100</f>
        <v>0.45139053419830333</v>
      </c>
      <c r="V26" s="79">
        <f>T26-U26</f>
        <v>8.0230653602659685E-2</v>
      </c>
      <c r="W26" s="95">
        <f>V26/SUM(V$26:V$29)</f>
        <v>0.32089791002943896</v>
      </c>
    </row>
    <row r="27" spans="1:23" x14ac:dyDescent="0.25">
      <c r="A27" s="2" t="str">
        <f>'R0030_LFP_Liberation'!A19</f>
        <v>Anode</v>
      </c>
      <c r="B27">
        <f>'R0031_Gen2_Liberation'!D19</f>
        <v>0.33327833690810099</v>
      </c>
      <c r="C27">
        <f t="shared" ref="C27:C31" si="4">B27*100</f>
        <v>33.327833690810102</v>
      </c>
      <c r="D27">
        <f>'R0031_Gen2_Liberation'!F19*100</f>
        <v>0</v>
      </c>
      <c r="E27">
        <f>C27</f>
        <v>33.327833690810102</v>
      </c>
      <c r="F27">
        <f>O6+O13+O19</f>
        <v>23.925173758238536</v>
      </c>
      <c r="G27">
        <f>SQRT(SUMSQ(C6,E6,G6,I6,K6,M6,C13,E13,G13,I13,K13,M13,C19,E19,G19,I19,K19,M19))</f>
        <v>0.50709557890144319</v>
      </c>
      <c r="I27">
        <f>E27-F27</f>
        <v>9.4026599325715665</v>
      </c>
      <c r="J27">
        <f>SQRT(SUMSQ(D27,G27))</f>
        <v>0.50709557890144319</v>
      </c>
      <c r="K27">
        <f>(E27/$E$34)*100-F27</f>
        <v>14.983333464875429</v>
      </c>
      <c r="L27">
        <f>SQRT((100*SQRT((D27/E27)^2+($E$35/$E$34)^2))^2+G27^2)</f>
        <v>1.1410463796810786</v>
      </c>
      <c r="N27" t="s">
        <v>69</v>
      </c>
      <c r="O27">
        <f>O7+O14+O20</f>
        <v>4.9626994100984438</v>
      </c>
      <c r="Q27">
        <f>K27/$K$34</f>
        <v>0.59928720236591537</v>
      </c>
      <c r="R27">
        <f>SQRT((SQRT(SUMSQ(L$26:L$29))/SUM(K$26:K$29))^2+(L27/K27)^2)*Q27</f>
        <v>7.0305214704146371E-2</v>
      </c>
      <c r="T27" s="79">
        <f>E27/$E$34</f>
        <v>0.38908507223113964</v>
      </c>
      <c r="U27" s="95">
        <f t="shared" ref="U27:U29" si="5">F27/100</f>
        <v>0.23925173758238535</v>
      </c>
      <c r="V27" s="79">
        <f t="shared" ref="V27:V29" si="6">T27-U27</f>
        <v>0.14983333464875428</v>
      </c>
      <c r="W27" s="95">
        <f>V27/SUM(V$26:V$29)</f>
        <v>0.59928720236591537</v>
      </c>
    </row>
    <row r="28" spans="1:23" x14ac:dyDescent="0.25">
      <c r="A28" s="2" t="str">
        <f>'R0030_LFP_Liberation'!A20</f>
        <v>Pouch</v>
      </c>
      <c r="B28">
        <f>'R0031_Gen2_Liberation'!D20</f>
        <v>3.5142715723477977E-2</v>
      </c>
      <c r="C28">
        <f t="shared" si="4"/>
        <v>3.5142715723477975</v>
      </c>
      <c r="D28">
        <f>'R0031_Gen2_Liberation'!F20*100</f>
        <v>0</v>
      </c>
      <c r="E28">
        <f>C28</f>
        <v>3.5142715723477975</v>
      </c>
      <c r="F28">
        <f>O8+O15+O21</f>
        <v>2.7735624497044231</v>
      </c>
      <c r="G28">
        <f>SQRT(SUMSQ(C8,E8,G8,I8,K8,M8,C15,E15,G15,I15,K15,M15,C21,E21,G21,I21,K21,M21))</f>
        <v>0.22724213139413824</v>
      </c>
      <c r="I28">
        <f>E28-F28</f>
        <v>0.74070912264337441</v>
      </c>
      <c r="J28">
        <f>SQRT(SUMSQ(D28,G28))</f>
        <v>0.22724213139413824</v>
      </c>
      <c r="K28">
        <f>(E28/$E$34)*100-F28</f>
        <v>1.3291662822377912</v>
      </c>
      <c r="L28">
        <f>SQRT((100*SQRT((D28/E28)^2+($E$35/$E$34)^2))^2+G28^2)</f>
        <v>1.0471293619808668</v>
      </c>
      <c r="N28" t="s">
        <v>70</v>
      </c>
      <c r="O28" s="16">
        <f>'R0031_Gen2_Liberation'!$C$2</f>
        <v>1.4420227826430498</v>
      </c>
      <c r="Q28">
        <f>K28/$K$34</f>
        <v>5.3162558560730336E-2</v>
      </c>
      <c r="R28">
        <f>SQRT((SQRT(SUMSQ(L$26:L$29))/SUM(K$26:K$29))^2+(L28/K28)^2)*Q28</f>
        <v>4.2149780146116818E-2</v>
      </c>
      <c r="T28" s="79">
        <f>E28/$E$34</f>
        <v>4.1027287319422144E-2</v>
      </c>
      <c r="U28" s="95">
        <f t="shared" si="5"/>
        <v>2.7735624497044233E-2</v>
      </c>
      <c r="V28" s="79">
        <f t="shared" si="6"/>
        <v>1.3291662822377912E-2</v>
      </c>
      <c r="W28" s="95">
        <f>V28/SUM(V$26:V$29)</f>
        <v>5.3162558560730336E-2</v>
      </c>
    </row>
    <row r="29" spans="1:23" x14ac:dyDescent="0.25">
      <c r="A29" s="2" t="str">
        <f>'R0030_LFP_Liberation'!A21</f>
        <v>Separator</v>
      </c>
      <c r="B29">
        <f>'R0031_Gen2_Liberation'!D21</f>
        <v>3.2777869438486498E-2</v>
      </c>
      <c r="C29">
        <f t="shared" si="4"/>
        <v>3.2777869438486498</v>
      </c>
      <c r="D29">
        <f>'R0031_Gen2_Liberation'!F21*100</f>
        <v>0</v>
      </c>
      <c r="E29">
        <f>C29</f>
        <v>3.2777869438486498</v>
      </c>
      <c r="F29">
        <f>O9+O16+O22</f>
        <v>3.1602857428954025</v>
      </c>
      <c r="G29">
        <f>SQRT(SUMSQ(C9,E9,G9,I9,K9,M9,C16,E16,G16,I16,K16,M16,C22,E22,G22,I22,K22,M22))</f>
        <v>0.19685856108560432</v>
      </c>
      <c r="I29">
        <f>E29-F29</f>
        <v>0.11750120095324723</v>
      </c>
      <c r="J29">
        <f>SQRT(SUMSQ(D29,G29))</f>
        <v>0.19685856108560432</v>
      </c>
      <c r="K29">
        <f>(E29/$E$34)*100-F29</f>
        <v>0.66635952195210857</v>
      </c>
      <c r="L29">
        <f>SQRT((100*SQRT((D29/E29)^2+($E$35/$E$34)^2))^2+G29^2)</f>
        <v>1.0409583120925645</v>
      </c>
      <c r="N29" t="s">
        <v>71</v>
      </c>
      <c r="O29" s="16">
        <f>SUM('R0031_Gen2_Liberation'!$C$9,'R0031_Gen2_Liberation'!$C$10,'R0031_Gen2_Liberation'!$C$11)</f>
        <v>18.594850859287547</v>
      </c>
      <c r="Q29">
        <f>K29/$K$34</f>
        <v>2.6652329043915329E-2</v>
      </c>
      <c r="R29">
        <f>SQRT((SQRT(SUMSQ(L$26:L$29))/SUM(K$26:K$29))^2+(L29/K29)^2)*Q29</f>
        <v>4.1703003359670886E-2</v>
      </c>
      <c r="T29" s="79">
        <f>E29/$E$34</f>
        <v>3.8266452648475113E-2</v>
      </c>
      <c r="U29" s="95">
        <f t="shared" si="5"/>
        <v>3.1602857428954023E-2</v>
      </c>
      <c r="V29" s="79">
        <f t="shared" si="6"/>
        <v>6.6635952195210901E-3</v>
      </c>
      <c r="W29" s="95">
        <f>V29/SUM(V$26:V$29)</f>
        <v>2.6652329043915349E-2</v>
      </c>
    </row>
    <row r="30" spans="1:23" x14ac:dyDescent="0.25">
      <c r="A30" s="2" t="str">
        <f>'R0030_LFP_Liberation'!A22</f>
        <v>Electrolyte</v>
      </c>
      <c r="B30">
        <f>'R0031_Gen2_Liberation'!D22</f>
        <v>0.1434306770059946</v>
      </c>
      <c r="C30">
        <f t="shared" si="4"/>
        <v>14.343067700599461</v>
      </c>
      <c r="D30">
        <f>'R0031_Gen2_Liberation'!F22*100</f>
        <v>0</v>
      </c>
    </row>
    <row r="31" spans="1:23" ht="15.75" thickBot="1" x14ac:dyDescent="0.3">
      <c r="A31" s="2" t="str">
        <f>'R0030_LFP_Liberation'!A23</f>
        <v>Whole</v>
      </c>
      <c r="B31">
        <f>'R0031_Gen2_Liberation'!D23</f>
        <v>1</v>
      </c>
      <c r="C31">
        <f t="shared" si="4"/>
        <v>100</v>
      </c>
      <c r="D31">
        <f>'R0031_Gen2_Liberation'!F23*100</f>
        <v>0</v>
      </c>
      <c r="N31" t="s">
        <v>122</v>
      </c>
      <c r="O31" s="16">
        <f>O29+O28+O25</f>
        <v>100.00000000000001</v>
      </c>
    </row>
    <row r="32" spans="1:23" ht="15.75" thickBot="1" x14ac:dyDescent="0.3">
      <c r="N32" t="s">
        <v>72</v>
      </c>
      <c r="O32" s="37">
        <f>SUM(O27:O29)</f>
        <v>24.999573052029042</v>
      </c>
    </row>
    <row r="33" spans="1:18" ht="15.75" thickBot="1" x14ac:dyDescent="0.3">
      <c r="I33" s="30"/>
      <c r="R33" s="16"/>
    </row>
    <row r="34" spans="1:18" ht="15.75" thickBot="1" x14ac:dyDescent="0.3">
      <c r="A34" s="2" t="s">
        <v>35</v>
      </c>
      <c r="E34" s="32">
        <f>SUM(E26:E29)</f>
        <v>85.656932299400552</v>
      </c>
      <c r="F34" s="35">
        <f>SUM(F26:F29)</f>
        <v>74.998075370668701</v>
      </c>
      <c r="I34" s="39">
        <f>SUM(I26:I29)</f>
        <v>10.658856928731849</v>
      </c>
      <c r="K34" s="39">
        <f>SUM(K26:K29)</f>
        <v>25.001924629331299</v>
      </c>
      <c r="N34" t="s">
        <v>73</v>
      </c>
      <c r="O34" s="31">
        <f>O32+O26</f>
        <v>99.99764842269775</v>
      </c>
    </row>
    <row r="35" spans="1:18" x14ac:dyDescent="0.25">
      <c r="A35" s="2" t="s">
        <v>63</v>
      </c>
      <c r="D35" t="s">
        <v>123</v>
      </c>
      <c r="E35">
        <f>F34/E34</f>
        <v>0.87556340575593505</v>
      </c>
      <c r="I35" t="str">
        <f>IF((I34+F34)=E34,"ok","Something Wrong")</f>
        <v>ok</v>
      </c>
      <c r="K35" t="str">
        <f>IF(K34+F34=100,"ok","Something Wrong")</f>
        <v>ok</v>
      </c>
    </row>
    <row r="38" spans="1:18" x14ac:dyDescent="0.25">
      <c r="A38" t="s">
        <v>109</v>
      </c>
      <c r="O38" s="16"/>
    </row>
    <row r="39" spans="1:18" x14ac:dyDescent="0.25">
      <c r="A39" t="s">
        <v>110</v>
      </c>
      <c r="B39" s="46">
        <v>1</v>
      </c>
      <c r="C39" s="47">
        <f>B39</f>
        <v>1</v>
      </c>
      <c r="D39" s="45">
        <v>2</v>
      </c>
      <c r="E39" s="47">
        <f>D39</f>
        <v>2</v>
      </c>
      <c r="F39" s="45">
        <v>2.8</v>
      </c>
      <c r="G39" s="47">
        <f>F39</f>
        <v>2.8</v>
      </c>
      <c r="H39" s="45">
        <v>4</v>
      </c>
      <c r="I39" s="47">
        <f>H39</f>
        <v>4</v>
      </c>
      <c r="J39" s="45">
        <v>5.6</v>
      </c>
      <c r="K39" s="47">
        <f>J39</f>
        <v>5.6</v>
      </c>
      <c r="L39" s="45">
        <v>8</v>
      </c>
      <c r="M39" s="47">
        <f>L39</f>
        <v>8</v>
      </c>
      <c r="O39" s="16" t="s">
        <v>75</v>
      </c>
    </row>
    <row r="40" spans="1:18" x14ac:dyDescent="0.25">
      <c r="A40" s="2" t="s">
        <v>77</v>
      </c>
      <c r="B40">
        <f>(B8+B9+($Q$28+$Q$29)*B7)/B4</f>
        <v>0.75792689157877868</v>
      </c>
      <c r="C40" s="48">
        <f>(SQRT(SUMSQ(
(100*(C4/B4)),
(100*(SQRT(SUMSQ(C8,C9)))/(B8+B9))
)))
*0.01*((B8+B9)/B4)</f>
        <v>6.1295150313451098E-2</v>
      </c>
      <c r="D40">
        <f>(D8+D9+($Q$28+$Q$29)*D7)/D4</f>
        <v>0.8656367425259831</v>
      </c>
      <c r="E40" s="48">
        <f>(SQRT(SUMSQ(
(100*(E4/D4)),
(100*(SQRT(SUMSQ(E8,E9)))/(D8+D9))
)))
*0.01*((D8+D9)/D4)</f>
        <v>8.7826978784351556E-2</v>
      </c>
      <c r="F40">
        <f>(F8+F9+($Q$28+$Q$29)*F7)/F4</f>
        <v>0.86686410070855713</v>
      </c>
      <c r="G40" s="48">
        <f>(SQRT(SUMSQ(
(100*(G4/F4)),
(100*(SQRT(SUMSQ(G8,G9)))/(F8+F9))
)))
*0.01*((F8+F9)/F4)</f>
        <v>0.14757454847911514</v>
      </c>
      <c r="H40">
        <f>(H8+H9+($Q$28+$Q$29)*H7)/H4</f>
        <v>0.81690480523865461</v>
      </c>
      <c r="I40" s="48">
        <f>(SQRT(SUMSQ(
(100*(I4/H4)),
(100*(SQRT(SUMSQ(I8,I9)))/(H8+H9))
)))
*0.01*((H8+H9)/H4)</f>
        <v>0.23525057209569705</v>
      </c>
      <c r="J40">
        <f>(J8+J9+($Q$28+$Q$29)*J7)/J4</f>
        <v>0.80039436005163134</v>
      </c>
      <c r="K40" s="48">
        <f>(SQRT(SUMSQ(
(100*(K4/J4)),
(100*(SQRT(SUMSQ(K8,K9)))/(J8+J9))
)))
*0.01*((J8+J9)/J4)</f>
        <v>0.20254209258417988</v>
      </c>
      <c r="L40">
        <f>(L8+L9+($Q$28+$Q$29)*L7)/L4</f>
        <v>0.69538490244230888</v>
      </c>
      <c r="M40" s="48">
        <f>(SQRT(SUMSQ(
(100*(M4/L4)),
(100*(SQRT(SUMSQ(M8,M9)))/(L8+L9))
)))
*0.01*((L8+L9)/L4)</f>
        <v>0.19148956945725093</v>
      </c>
      <c r="O40">
        <f>(O8+O9+($Q$28+$Q$29)*O7)/O4</f>
        <v>0.80748165596041666</v>
      </c>
      <c r="P40" s="48">
        <f>(SQRT(SUMSQ(
(100*(P4/O4)),
(100*(SQRT(SUMSQ(P8,P9)))/(O8+O9))
)))
*0.01*((O8+O9)/O4)</f>
        <v>8.3848832523363004E-2</v>
      </c>
    </row>
    <row r="41" spans="1:18" x14ac:dyDescent="0.25">
      <c r="A41" s="2" t="s">
        <v>45</v>
      </c>
      <c r="B41">
        <f>(B12+B14*$Q$26)/B11</f>
        <v>0.97434145620860912</v>
      </c>
      <c r="C41" s="48">
        <f>(SQRT(SUMSQ(
(100*C11/B11),
(100*C12/B12)
)))
*0.01*(B12/B11)</f>
        <v>8.9994018056815082E-3</v>
      </c>
      <c r="D41">
        <f>(D12+D14*$Q$26)/D11</f>
        <v>0.96828474087768435</v>
      </c>
      <c r="E41" s="48">
        <f>(SQRT(SUMSQ(
(100*E11/D11),
(100*E12/D12)
)))
*0.01*(D12/D11)</f>
        <v>1.2453536796569842E-2</v>
      </c>
      <c r="F41">
        <f>(F12+F14*$Q$26)/F11</f>
        <v>0.96749459364101598</v>
      </c>
      <c r="G41" s="48">
        <f>(SQRT(SUMSQ(
(100*G11/F11),
(100*G12/F12)
)))
*0.01*(F12/F11)</f>
        <v>2.4709614719450577E-2</v>
      </c>
      <c r="H41">
        <f>(H12+H14*$Q$26)/H11</f>
        <v>0.93900412797393973</v>
      </c>
      <c r="I41" s="48">
        <f>(SQRT(SUMSQ(
(100*I11/H11),
(100*I12/H12)
)))
*0.01*(H12/H11)</f>
        <v>3.8906322316430743E-2</v>
      </c>
      <c r="J41">
        <f>(J12+J14*$Q$26)/J11</f>
        <v>0.94617833332396639</v>
      </c>
      <c r="K41" s="48">
        <f>(SQRT(SUMSQ(
(100*K11/J11),
(100*K12/J12)
)))
*0.01*(J12/J11)</f>
        <v>4.8591198803415378E-2</v>
      </c>
      <c r="L41">
        <f>(L12+L14*$Q$26)/L11</f>
        <v>0.87201180355080277</v>
      </c>
      <c r="M41" s="48">
        <f>(SQRT(SUMSQ(
(100*M11/L11),
(100*M12/L12)
)))
*0.01*(L12/L11)</f>
        <v>9.463694764864887E-2</v>
      </c>
      <c r="O41">
        <f>(O12+O14*$Q$26)/O11</f>
        <v>0.94858564344848151</v>
      </c>
      <c r="P41" s="48">
        <f>(SQRT(SUMSQ(
(100*P11/O11),
(100*P12/O12)
)))
*0.01*(O12/O11)</f>
        <v>1.7816706913596572E-2</v>
      </c>
    </row>
    <row r="42" spans="1:18" x14ac:dyDescent="0.25">
      <c r="A42" s="2" t="s">
        <v>46</v>
      </c>
      <c r="B42">
        <f>(B19+B20*$Q$27)/B17</f>
        <v>0.97608425843249647</v>
      </c>
      <c r="C42" s="48">
        <f>(SQRT(SUMSQ(
(100*C17/B17),
(100*C19/B19)
)))
*0.01*(B19/B17)</f>
        <v>3.8490415600287896E-2</v>
      </c>
      <c r="D42">
        <f>(D19+D20*$Q$27)/D17</f>
        <v>0.96694530146550273</v>
      </c>
      <c r="E42" s="48">
        <f>(SQRT(SUMSQ(
(100*E17/D17),
(100*E19/D19)
)))
*0.01*(D19/D17)</f>
        <v>4.0489745651601509E-2</v>
      </c>
      <c r="F42">
        <f>(F19+F20*$Q$27)/F17</f>
        <v>0.9344795448126052</v>
      </c>
      <c r="G42" s="48">
        <f>(SQRT(SUMSQ(
(100*G17/F17),
(100*G19/F19)
)))
*0.01*(F19/F17)</f>
        <v>5.6049905627672973E-2</v>
      </c>
      <c r="H42">
        <f>(H19+H20*$Q$27)/H17</f>
        <v>0.88484589126753144</v>
      </c>
      <c r="I42" s="48">
        <f>(SQRT(SUMSQ(
(100*I17/H17),
(100*I19/H19)
)))
*0.01*(H19/H17)</f>
        <v>4.2976047977935951E-2</v>
      </c>
      <c r="J42">
        <f>(J19+J20*$Q$27)/J17</f>
        <v>0.78697358746528723</v>
      </c>
      <c r="K42" s="48">
        <f>(SQRT(SUMSQ(
(100*K17/J17),
(100*K19/J19)
)))
*0.01*(J19/J17)</f>
        <v>5.2909056031938198E-2</v>
      </c>
      <c r="L42">
        <f>(L19+L20*$Q$27)/L17</f>
        <v>0.65768476682465005</v>
      </c>
      <c r="M42" s="48">
        <f>(SQRT(SUMSQ(
(100*M17/L17),
(100*M19/L19)
)))
*0.01*(L19/L17)</f>
        <v>5.1802785987485209E-2</v>
      </c>
      <c r="O42">
        <f>(O19+O20*$Q$27)/O17</f>
        <v>0.83547627145248493</v>
      </c>
      <c r="P42" s="48">
        <f>(SQRT(SUMSQ(
(100*P17/O17),
(100*P19/O19)
)))
*0.01*(O19/O17)</f>
        <v>2.4302539275081671E-2</v>
      </c>
    </row>
    <row r="43" spans="1:18" x14ac:dyDescent="0.25">
      <c r="A43" s="2" t="s">
        <v>48</v>
      </c>
      <c r="C43" s="48"/>
      <c r="E43" s="48"/>
      <c r="G43" s="48"/>
      <c r="I43" s="48"/>
      <c r="K43" s="48"/>
      <c r="M43" s="48"/>
      <c r="P43" s="48"/>
    </row>
    <row r="45" spans="1:18" x14ac:dyDescent="0.25">
      <c r="A45" t="s">
        <v>114</v>
      </c>
      <c r="B45" s="46">
        <v>1</v>
      </c>
      <c r="C45" s="47">
        <f>B45</f>
        <v>1</v>
      </c>
      <c r="D45" s="45">
        <v>2</v>
      </c>
      <c r="E45" s="47">
        <f>D45</f>
        <v>2</v>
      </c>
      <c r="F45" s="45">
        <v>2.8</v>
      </c>
      <c r="G45" s="47">
        <f>F45</f>
        <v>2.8</v>
      </c>
      <c r="H45" s="45">
        <v>4</v>
      </c>
      <c r="I45" s="47">
        <f>H45</f>
        <v>4</v>
      </c>
      <c r="J45" s="45">
        <v>5.6</v>
      </c>
      <c r="K45" s="47">
        <f>J45</f>
        <v>5.6</v>
      </c>
      <c r="L45" s="45">
        <v>8</v>
      </c>
      <c r="M45" s="47">
        <f>L45</f>
        <v>8</v>
      </c>
      <c r="O45" t="s">
        <v>78</v>
      </c>
    </row>
    <row r="46" spans="1:18" x14ac:dyDescent="0.25">
      <c r="A46" s="2" t="s">
        <v>77</v>
      </c>
      <c r="B46">
        <f>(B9+B8)/(B8+B9+B15+B16+B21+B22+(B20+B14+B7)*($Q$28+$Q$29))</f>
        <v>0.79740415186027847</v>
      </c>
      <c r="C46" s="48">
        <f>SQRT(SUMSQ((100*(SQRT(SUMSQ(C8,C9,C15,C16,C21,C22)))/(B8+B9+B15+B16+B21+B22)),(100*(SQRT(SUMSQ(C8,C9)))/(B9+B8))))*0.01*((B8+B9)/(B8+B9+B15+B16+B21+B22))</f>
        <v>8.6540015763961281E-2</v>
      </c>
      <c r="D46">
        <f>(D9+D8)/(D8+D9+D15+D16+D21+D22+(D20+D14+D7)*($Q$28+$Q$29))</f>
        <v>0.8180590428525929</v>
      </c>
      <c r="E46" s="48">
        <f>SQRT(SUMSQ((100*(SQRT(SUMSQ(E8,E9,E15,E16,E21,E22)))/(D8+D9+D15+D16+D21+D22)),(100*(SQRT(SUMSQ(E8,E9)))/(D9+D8))))*0.01*((D8+D9)/(D8+D9+D15+D16+D21+D22))</f>
        <v>7.313874866178588E-2</v>
      </c>
      <c r="F46">
        <f>(F9+F8)/(F8+F9+F15+F16+F21+F22+(F20+F14+F7)*($Q$28+$Q$29))</f>
        <v>0.69780001926319224</v>
      </c>
      <c r="G46" s="48">
        <f>SQRT(SUMSQ((100*(SQRT(SUMSQ(G8,G9,G15,G16,G21,G22)))/(F8+F9+F15+F16+F21+F22)),(100*(SQRT(SUMSQ(G8,G9)))/(F9+F8))))*0.01*((F8+F9)/(F8+F9+F15+F16+F21+F22))</f>
        <v>0.11323710812814526</v>
      </c>
      <c r="H46">
        <f>(H9+H8)/(H8+H9+H15+H16+H21+H22+(H20+H14+H7)*($Q$28+$Q$29))</f>
        <v>0.56961028811793735</v>
      </c>
      <c r="I46" s="48">
        <f>SQRT(SUMSQ((100*(SQRT(SUMSQ(I8,I9,I15,I16,I21,I22)))/(H8+H9+H15+H16+H21+H22)),(100*(SQRT(SUMSQ(I8,I9)))/(H9+H8))))*0.01*((H8+H9)/(H8+H9+H15+H16+H21+H22))</f>
        <v>0.13658985511163588</v>
      </c>
      <c r="J46">
        <f>(J9+J8)/(J8+J9+J15+J16+J21+J22+(J20+J14+J7)*($Q$28+$Q$29))</f>
        <v>0.40160759867712365</v>
      </c>
      <c r="K46" s="48">
        <f>SQRT(SUMSQ((100*(SQRT(SUMSQ(K8,K9,K15,K16,K21,K22)))/(J8+J9+J15+J16+J21+J22)),(100*(SQRT(SUMSQ(K8,K9)))/(J9+J8))))*0.01*((J8+J9)/(J8+J9+J15+J16+J21+J22))</f>
        <v>5.3485298976828709E-2</v>
      </c>
      <c r="L46">
        <f>(L9+L8)/(L8+L9+L15+L16+L21+L22+(L20+L14+L7)*($Q$28+$Q$29))</f>
        <v>0.23783701798187315</v>
      </c>
      <c r="M46" s="48">
        <f>SQRT(SUMSQ((100*(SQRT(SUMSQ(M8,M9,M15,M16,M21,M22)))/(L8+L9+L15+L16+L21+L22)),(100*(SQRT(SUMSQ(M8,M9)))/(L9+L8))))*0.01*((L8+L9)/(L8+L9+L15+L16+L21+L22))</f>
        <v>6.762688317890278E-2</v>
      </c>
      <c r="O46">
        <f>(O9+O8)/(O8+O9+O15+O16+O21+O22+(O20+O14+O7)*($Q$28+$Q$29))</f>
        <v>0.49890954375733371</v>
      </c>
      <c r="P46" s="48">
        <f>SQRT(SUMSQ((100*(SQRT(SUMSQ(P8,P9,P15,P16,P21,P22)))/(O8+O9+O15+O16+O21+O22)),(100*(SQRT(SUMSQ(P8,P9)))/(O9+O8))))*0.01*((O8+O9)/(O8+O9+O15+O16+O21+O22))</f>
        <v>4.2691250544965545E-2</v>
      </c>
    </row>
    <row r="47" spans="1:18" x14ac:dyDescent="0.25">
      <c r="A47" s="2" t="s">
        <v>45</v>
      </c>
      <c r="B47">
        <f>B12/(B5+B12+B18+(B7+B14+B20)*$Q$26)</f>
        <v>0.99320931971951631</v>
      </c>
      <c r="C47" s="48">
        <f>(SQRT(SUMSQ((100*((SQRT(SUMSQ(C5,C12,C18)))/(B5+B12+B18))),(100*C12/B12))))*(C12/(C5+C12+C18))*0.01</f>
        <v>2.8601017667337697E-3</v>
      </c>
      <c r="D47">
        <f>D12/(D5+D12+D18+(D7+D14+D20)*$Q$26)</f>
        <v>0.98939781737201349</v>
      </c>
      <c r="E47" s="48">
        <f>(SQRT(SUMSQ((100*((SQRT(SUMSQ(E5,E12,E18)))/(D5+D12+D18))),(100*E12/D12))))*(E12/(E5+E12+E18))*0.01</f>
        <v>7.6170104622017678E-3</v>
      </c>
      <c r="F47">
        <f>F12/(F5+F12+F18+(F7+F14+F20)*$Q$26)</f>
        <v>0.98300280976454502</v>
      </c>
      <c r="G47" s="48">
        <f>(SQRT(SUMSQ((100*((SQRT(SUMSQ(G5,G12,G18)))/(F5+F12+F18))),(100*G12/F12))))*(G12/(G5+G12+G18))*0.01</f>
        <v>2.3987837386964729E-2</v>
      </c>
      <c r="H47">
        <f>H12/(H5+H12+H18+(H7+H14+H20)*$Q$26)</f>
        <v>0.95618165727334492</v>
      </c>
      <c r="I47" s="48">
        <f>(SQRT(SUMSQ((100*((SQRT(SUMSQ(I5,I12,I18)))/(H5+H12+H18))),(100*I12/H12))))*(I12/(I5+I12+I18))*0.01</f>
        <v>3.8563773607326067E-2</v>
      </c>
      <c r="J47">
        <f>J12/(J5+J12+J18+(J7+J14+J20)*$Q$26)</f>
        <v>0.87755949020789514</v>
      </c>
      <c r="K47" s="48">
        <f>(SQRT(SUMSQ((100*((SQRT(SUMSQ(K5,K12,K18)))/(J5+J12+J18))),(100*K12/J12))))*(K12/(K5+K12+K18))*0.01</f>
        <v>2.7570279226466394E-2</v>
      </c>
      <c r="L47">
        <f>L12/(L5+L12+L18+(L7+L14+L20)*$Q$26)</f>
        <v>0.76085888719619788</v>
      </c>
      <c r="M47" s="48">
        <f>(SQRT(SUMSQ((100*((SQRT(SUMSQ(M5,M12,M18)))/(L5+L12+L18))),(100*M12/L12))))*(M12/(M5+M12+M18))*0.01</f>
        <v>6.9217001250976823E-2</v>
      </c>
      <c r="O47">
        <f>O12/(O5+O12+O18+(O7+O14+O20)*$Q$26)</f>
        <v>0.93493637618402325</v>
      </c>
      <c r="P47" s="48">
        <f>(SQRT(SUMSQ((100*((SQRT(SUMSQ(P5,P12,P18)))/(O5+O12+O18))),(100*P12/O12))))*(P12/(P5+P12+P18))*0.01</f>
        <v>1.2654515040740465E-2</v>
      </c>
    </row>
    <row r="48" spans="1:18" x14ac:dyDescent="0.25">
      <c r="A48" s="2" t="s">
        <v>46</v>
      </c>
      <c r="B48">
        <f>B19/(B6+B13+B19+(B7+B14+B20)*$Q$27)</f>
        <v>0.90772640885388911</v>
      </c>
      <c r="C48" s="48">
        <f>(SQRT(SUMSQ((100*((SQRT(SUMSQ(C6,C13,C19)))/(B6+B13+B19))),(100*C19/B19))))*(C19/(C6+C13+C19))*0.01</f>
        <v>2.0842554676520644E-2</v>
      </c>
      <c r="D48">
        <f>D19/(D6+D13+D19+(D7+D14+D20)*$Q$27)</f>
        <v>0.91618544570954263</v>
      </c>
      <c r="E48" s="48">
        <f>(SQRT(SUMSQ((100*((SQRT(SUMSQ(E6,E13,E19)))/(D6+D13+D19))),(100*E19/D19))))*(E19/(E6+E13+E19))*0.01</f>
        <v>2.9961386415558355E-2</v>
      </c>
      <c r="F48">
        <f>F19/(F6+F13+F19+(F7+F14+F20)*$Q$27)</f>
        <v>0.91460401487866583</v>
      </c>
      <c r="G48" s="48">
        <f>(SQRT(SUMSQ((100*((SQRT(SUMSQ(G6,G13,G19)))/(F6+F13+F19))),(100*G19/F19))))*(G19/(G6+G13+G19))*0.01</f>
        <v>5.0041986129566965E-2</v>
      </c>
      <c r="H48">
        <f>H19/(H6+H13+H19+(H7+H14+H20)*$Q$27)</f>
        <v>0.85521061515517416</v>
      </c>
      <c r="I48" s="48">
        <f>(SQRT(SUMSQ((100*((SQRT(SUMSQ(I6,I13,I19)))/(H6+H13+H19))),(100*I19/H19))))*(I19/(I6+I13+I19))*0.01</f>
        <v>2.5450909098413434E-2</v>
      </c>
      <c r="J48">
        <f>J19/(J6+J13+J19+(J7+J14+J20)*$Q$27)</f>
        <v>0.8501217648151842</v>
      </c>
      <c r="K48" s="48">
        <f>(SQRT(SUMSQ((100*((SQRT(SUMSQ(K6,K13,K19)))/(J6+J13+J19))),(100*K19/J19))))*(K19/(K6+K13+K19))*0.01</f>
        <v>6.9659703449531915E-2</v>
      </c>
      <c r="L48">
        <f>L19/(L6+L13+L19+(L7+L14+L20)*$Q$27)</f>
        <v>0.69224728220764331</v>
      </c>
      <c r="M48" s="48">
        <f>(SQRT(SUMSQ((100*((SQRT(SUMSQ(M6,M13,M19)))/(L6+L13+L19))),(100*M19/L19))))*(M19/(M6+M13+M19))*0.01</f>
        <v>6.8843834387532318E-2</v>
      </c>
      <c r="O48">
        <f>O19/(O6+O13+O19+(O7+O14+O20)*$Q$27)</f>
        <v>0.85047490108781221</v>
      </c>
      <c r="P48" s="48">
        <f>(SQRT(SUMSQ((100*((SQRT(SUMSQ(P6,P13,P19)))/(O6+O13+O19))),(100*P19/O19))))*(P19/(P6+P13+P19))*0.01</f>
        <v>2.1559740756620531E-2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C91DE-A7CE-46F5-9441-91A0ADD6D117}">
  <sheetPr codeName="Sheet16">
    <tabColor rgb="FFFF0000"/>
  </sheetPr>
  <dimension ref="A1:Y78"/>
  <sheetViews>
    <sheetView topLeftCell="A46" workbookViewId="0">
      <selection activeCell="B31" sqref="B31"/>
    </sheetView>
  </sheetViews>
  <sheetFormatPr defaultRowHeight="15" x14ac:dyDescent="0.25"/>
  <cols>
    <col min="1" max="1" width="8.5703125" style="2" customWidth="1"/>
    <col min="2" max="20" width="8.5703125" customWidth="1"/>
  </cols>
  <sheetData>
    <row r="1" spans="1:16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  <c r="O1" s="98" t="s">
        <v>74</v>
      </c>
      <c r="P1" s="98"/>
    </row>
    <row r="2" spans="1:16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s="16" t="s">
        <v>52</v>
      </c>
      <c r="P2" t="s">
        <v>27</v>
      </c>
    </row>
    <row r="3" spans="1:16" s="9" customFormat="1" x14ac:dyDescent="0.25">
      <c r="A3" s="13" t="s">
        <v>19</v>
      </c>
      <c r="B3" s="21">
        <f>('R0031_Gen2_Averages'!B3)*('R0031_Gen2_Liberation'!$C$8/100)</f>
        <v>7.8027260156712979</v>
      </c>
      <c r="C3" s="21">
        <f>('R0031_Gen2_Averages'!C3)*('R0031_Gen2_Liberation'!$C$8/100)</f>
        <v>0</v>
      </c>
      <c r="D3" s="21">
        <f>'R0031_Gen2_Averages'!D3*('R0031_Gen2_Liberation'!$C$7/100)</f>
        <v>7.9014946994139716</v>
      </c>
      <c r="E3" s="21">
        <f>'R0031_Gen2_Averages'!E3*('R0031_Gen2_Liberation'!$C$7/100)</f>
        <v>0</v>
      </c>
      <c r="F3" s="21">
        <f>'R0031_Gen2_Averages'!F3*('R0031_Gen2_Liberation'!$C$6/100)</f>
        <v>14.38072035293343</v>
      </c>
      <c r="G3" s="21">
        <f>'R0031_Gen2_Averages'!G3*('R0031_Gen2_Liberation'!$C$6/100)</f>
        <v>0</v>
      </c>
      <c r="H3" s="21">
        <f>'R0031_Gen2_Averages'!H3*('R0031_Gen2_Liberation'!$C$5/100)</f>
        <v>20.55047079739251</v>
      </c>
      <c r="I3" s="21">
        <f>'R0031_Gen2_Averages'!I3*('R0031_Gen2_Liberation'!$C$5/100)</f>
        <v>0</v>
      </c>
      <c r="J3" s="21">
        <f>'R0031_Gen2_Averages'!J3*('R0031_Gen2_Liberation'!$C$4/100)</f>
        <v>20.366102587739515</v>
      </c>
      <c r="K3" s="21">
        <f>'R0031_Gen2_Averages'!K3*('R0031_Gen2_Liberation'!$C$4/100)</f>
        <v>0</v>
      </c>
      <c r="L3" s="21">
        <f>'R0031_Gen2_Averages'!L3*('R0031_Gen2_Liberation'!$C$3/100)</f>
        <v>8.96161190491868</v>
      </c>
      <c r="M3" s="21">
        <f>'R0031_Gen2_Averages'!M3*('R0031_Gen2_Liberation'!$C$3/100)</f>
        <v>0</v>
      </c>
      <c r="O3" s="21">
        <f>SUM(B3,D3,F3,H3,J3,L3)</f>
        <v>79.963126358069417</v>
      </c>
      <c r="P3" s="9">
        <f t="shared" ref="P3:P22" si="0">SQRT(SUMSQ(C3,E3,G3,I3,K3,M3))</f>
        <v>0</v>
      </c>
    </row>
    <row r="4" spans="1:16" s="24" customFormat="1" x14ac:dyDescent="0.25">
      <c r="A4" s="22" t="s">
        <v>12</v>
      </c>
      <c r="B4" s="23">
        <f>'R0031_Gen2_Averages'!B4*('R0031_Gen2_Liberation'!$C$8/100)</f>
        <v>0.36978744003068886</v>
      </c>
      <c r="C4" s="23">
        <f>('R0031_Gen2_Averages'!C4)*('R0031_Gen2_Liberation'!$C$8/100)</f>
        <v>2.3026060757448889E-2</v>
      </c>
      <c r="D4" s="23">
        <f>'R0031_Gen2_Averages'!D4*('R0031_Gen2_Liberation'!$C$7/100)</f>
        <v>0.44919468099091553</v>
      </c>
      <c r="E4" s="23">
        <f>'R0031_Gen2_Averages'!E4*('R0031_Gen2_Liberation'!$C$7/100)</f>
        <v>3.703931085734722E-2</v>
      </c>
      <c r="F4" s="23">
        <f>'R0031_Gen2_Averages'!F4*('R0031_Gen2_Liberation'!$C$6/100)</f>
        <v>0.76275563073154728</v>
      </c>
      <c r="G4" s="23">
        <f>'R0031_Gen2_Averages'!G4*('R0031_Gen2_Liberation'!$C$6/100)</f>
        <v>9.0315638583041827E-2</v>
      </c>
      <c r="H4" s="23">
        <f>'R0031_Gen2_Averages'!H4*('R0031_Gen2_Liberation'!$C$5/100)</f>
        <v>0.97660100436695918</v>
      </c>
      <c r="I4" s="23">
        <f>'R0031_Gen2_Averages'!I4*('R0031_Gen2_Liberation'!$C$5/100)</f>
        <v>0.22012325429670407</v>
      </c>
      <c r="J4" s="23">
        <f>'R0031_Gen2_Averages'!J4*('R0031_Gen2_Liberation'!$C$4/100)</f>
        <v>0.88400718068215267</v>
      </c>
      <c r="K4" s="23">
        <f>'R0031_Gen2_Averages'!K4*('R0031_Gen2_Liberation'!$C$4/100)</f>
        <v>0.2062101831047192</v>
      </c>
      <c r="L4" s="23">
        <f>'R0031_Gen2_Averages'!L4*('R0031_Gen2_Liberation'!$C$3/100)</f>
        <v>0.49983567775179255</v>
      </c>
      <c r="M4" s="23">
        <f>'R0031_Gen2_Averages'!M4*('R0031_Gen2_Liberation'!$C$3/100)</f>
        <v>9.5491934663870959E-2</v>
      </c>
      <c r="O4" s="23">
        <f>SUM(B4,D4,F4,H4,J4,L4)</f>
        <v>3.9421816145540562</v>
      </c>
      <c r="P4" s="24">
        <f t="shared" si="0"/>
        <v>0.33189549692570075</v>
      </c>
    </row>
    <row r="5" spans="1:16" x14ac:dyDescent="0.25">
      <c r="A5" s="2" t="s">
        <v>8</v>
      </c>
      <c r="B5" s="16">
        <f>'R0031_Gen2_Averages'!B5*('R0031_Gen2_Liberation'!$C$8/100)</f>
        <v>2.013422081612079E-2</v>
      </c>
      <c r="C5" s="16">
        <f>('R0031_Gen2_Averages'!C5)*('R0031_Gen2_Liberation'!$C$8/100)</f>
        <v>1.4907937069950349E-2</v>
      </c>
      <c r="D5" s="16">
        <f>'R0031_Gen2_Averages'!D5*('R0031_Gen2_Liberation'!$C$7/100)</f>
        <v>2.2789833265114481E-2</v>
      </c>
      <c r="E5" s="16">
        <f>'R0031_Gen2_Averages'!E5*('R0031_Gen2_Liberation'!$C$7/100)</f>
        <v>1.2271941102863587E-2</v>
      </c>
      <c r="F5" s="16">
        <f>'R0031_Gen2_Averages'!F5*('R0031_Gen2_Liberation'!$C$6/100)</f>
        <v>2.6012438881278195E-2</v>
      </c>
      <c r="G5" s="16">
        <f>'R0031_Gen2_Averages'!G5*('R0031_Gen2_Liberation'!$C$6/100)</f>
        <v>1.8683041957955497E-2</v>
      </c>
      <c r="H5" s="16">
        <f>'R0031_Gen2_Averages'!H5*('R0031_Gen2_Liberation'!$C$5/100)</f>
        <v>6.8586601601389741E-2</v>
      </c>
      <c r="I5" s="16">
        <f>'R0031_Gen2_Averages'!I5*('R0031_Gen2_Liberation'!$C$5/100)</f>
        <v>3.4582890557204017E-2</v>
      </c>
      <c r="J5" s="16">
        <f>'R0031_Gen2_Averages'!J5*('R0031_Gen2_Liberation'!$C$4/100)</f>
        <v>2.0837685245411807E-2</v>
      </c>
      <c r="K5" s="16">
        <f>'R0031_Gen2_Averages'!K5*('R0031_Gen2_Liberation'!$C$4/100)</f>
        <v>2.2031104178980011E-2</v>
      </c>
      <c r="L5" s="16">
        <f>'R0031_Gen2_Averages'!L5*('R0031_Gen2_Liberation'!$C$3/100)</f>
        <v>2.8356890527612186E-2</v>
      </c>
      <c r="M5" s="16">
        <f>'R0031_Gen2_Averages'!M5*('R0031_Gen2_Liberation'!$C$3/100)</f>
        <v>4.9115575138492934E-2</v>
      </c>
      <c r="O5" s="16">
        <f>SUM(B5,D5,F5,H5,J5,L5)</f>
        <v>0.18671767033692721</v>
      </c>
      <c r="P5" s="16">
        <f t="shared" si="0"/>
        <v>6.9394443399583824E-2</v>
      </c>
    </row>
    <row r="6" spans="1:16" x14ac:dyDescent="0.25">
      <c r="A6" s="2" t="s">
        <v>6</v>
      </c>
      <c r="B6" s="16">
        <f>'R0031_Gen2_Averages'!B6*('R0031_Gen2_Liberation'!$C$8/100)</f>
        <v>5.9531698302662799E-2</v>
      </c>
      <c r="C6" s="16">
        <f>('R0031_Gen2_Averages'!C6)*('R0031_Gen2_Liberation'!$C$8/100)</f>
        <v>3.7033381830545463E-2</v>
      </c>
      <c r="D6" s="16">
        <f>'R0031_Gen2_Averages'!D6*('R0031_Gen2_Liberation'!$C$7/100)</f>
        <v>2.4607855913543742E-2</v>
      </c>
      <c r="E6" s="16">
        <f>'R0031_Gen2_Averages'!E6*('R0031_Gen2_Liberation'!$C$7/100)</f>
        <v>5.8594598810179513E-3</v>
      </c>
      <c r="F6" s="16">
        <f>'R0031_Gen2_Averages'!F6*('R0031_Gen2_Liberation'!$C$6/100)</f>
        <v>4.5702446449976203E-2</v>
      </c>
      <c r="G6" s="16">
        <f>'R0031_Gen2_Averages'!G6*('R0031_Gen2_Liberation'!$C$6/100)</f>
        <v>1.6626388934958772E-2</v>
      </c>
      <c r="H6" s="16">
        <f>'R0031_Gen2_Averages'!H6*('R0031_Gen2_Liberation'!$C$5/100)</f>
        <v>8.7932865236854521E-2</v>
      </c>
      <c r="I6" s="16">
        <f>'R0031_Gen2_Averages'!I6*('R0031_Gen2_Liberation'!$C$5/100)</f>
        <v>3.6993148555333755E-2</v>
      </c>
      <c r="J6" s="16">
        <f>'R0031_Gen2_Averages'!J6*('R0031_Gen2_Liberation'!$C$4/100)</f>
        <v>2.23022132153541E-2</v>
      </c>
      <c r="K6" s="16">
        <f>'R0031_Gen2_Averages'!K6*('R0031_Gen2_Liberation'!$C$4/100)</f>
        <v>2.3066167412970622E-2</v>
      </c>
      <c r="L6" s="16">
        <f>'R0031_Gen2_Averages'!L6*('R0031_Gen2_Liberation'!$C$3/100)</f>
        <v>4.1972940765179628E-2</v>
      </c>
      <c r="M6" s="16">
        <f>'R0031_Gen2_Averages'!M6*('R0031_Gen2_Liberation'!$C$3/100)</f>
        <v>4.2143390387476859E-2</v>
      </c>
      <c r="O6" s="16">
        <f>SUM(B6,D6,F6,H6,J6,L6)</f>
        <v>0.28205001988357098</v>
      </c>
      <c r="P6" s="16">
        <f t="shared" si="0"/>
        <v>7.3204152351025897E-2</v>
      </c>
    </row>
    <row r="7" spans="1:16" x14ac:dyDescent="0.25">
      <c r="A7" s="2" t="s">
        <v>14</v>
      </c>
      <c r="B7" s="16">
        <f>'R0031_Gen2_Averages'!B7*('R0031_Gen2_Liberation'!$C$8/100)</f>
        <v>1.0704015759319733E-2</v>
      </c>
      <c r="C7" s="16">
        <f>('R0031_Gen2_Averages'!C7)*('R0031_Gen2_Liberation'!$C$8/100)</f>
        <v>1.9006335129243253E-3</v>
      </c>
      <c r="D7" s="16">
        <f>'R0031_Gen2_Averages'!D7*('R0031_Gen2_Liberation'!$C$7/100)</f>
        <v>1.4081483415388986E-2</v>
      </c>
      <c r="E7" s="16">
        <f>'R0031_Gen2_Averages'!E7*('R0031_Gen2_Liberation'!$C$7/100)</f>
        <v>5.0717769933165012E-3</v>
      </c>
      <c r="F7" s="16">
        <f>'R0031_Gen2_Averages'!F7*('R0031_Gen2_Liberation'!$C$6/100)</f>
        <v>3.2423119113650097E-2</v>
      </c>
      <c r="G7" s="16">
        <f>'R0031_Gen2_Averages'!G7*('R0031_Gen2_Liberation'!$C$6/100)</f>
        <v>1.259772064753565E-2</v>
      </c>
      <c r="H7" s="16">
        <f>'R0031_Gen2_Averages'!H7*('R0031_Gen2_Liberation'!$C$5/100)</f>
        <v>2.4224999905097733E-2</v>
      </c>
      <c r="I7" s="16">
        <f>'R0031_Gen2_Averages'!I7*('R0031_Gen2_Liberation'!$C$5/100)</f>
        <v>1.9306902069429487E-2</v>
      </c>
      <c r="J7" s="16">
        <f>'R0031_Gen2_Averages'!J7*('R0031_Gen2_Liberation'!$C$4/100)</f>
        <v>0.14487619801978582</v>
      </c>
      <c r="K7" s="16">
        <f>'R0031_Gen2_Averages'!K7*('R0031_Gen2_Liberation'!$C$4/100)</f>
        <v>0.2044492264309494</v>
      </c>
      <c r="L7" s="16">
        <f>'R0031_Gen2_Averages'!L7*('R0031_Gen2_Liberation'!$C$3/100)</f>
        <v>8.9033892577459209E-2</v>
      </c>
      <c r="M7" s="16">
        <f>'R0031_Gen2_Averages'!M7*('R0031_Gen2_Liberation'!$C$3/100)</f>
        <v>4.4349895732572753E-2</v>
      </c>
      <c r="O7" s="16">
        <f>SUM(B7,D7,F7,H7,J7,L7)</f>
        <v>0.31534370879070156</v>
      </c>
      <c r="P7" s="16">
        <f t="shared" si="0"/>
        <v>0.21054024271467903</v>
      </c>
    </row>
    <row r="8" spans="1:16" x14ac:dyDescent="0.25">
      <c r="A8" s="2" t="s">
        <v>15</v>
      </c>
      <c r="B8" s="16">
        <f>'R0031_Gen2_Averages'!B8*('R0031_Gen2_Liberation'!$C$8/100)</f>
        <v>3.7938794421910109E-2</v>
      </c>
      <c r="C8" s="16">
        <f>('R0031_Gen2_Averages'!C8)*('R0031_Gen2_Liberation'!$C$8/100)</f>
        <v>5.5427870914349885E-3</v>
      </c>
      <c r="D8" s="16">
        <f>'R0031_Gen2_Averages'!D8*('R0031_Gen2_Liberation'!$C$7/100)</f>
        <v>4.8306364615267522E-2</v>
      </c>
      <c r="E8" s="16">
        <f>'R0031_Gen2_Averages'!E8*('R0031_Gen2_Liberation'!$C$7/100)</f>
        <v>5.5593131835486994E-3</v>
      </c>
      <c r="F8" s="16">
        <f>'R0031_Gen2_Averages'!F8*('R0031_Gen2_Liberation'!$C$6/100)</f>
        <v>8.6133228999107372E-2</v>
      </c>
      <c r="G8" s="16">
        <f>'R0031_Gen2_Averages'!G8*('R0031_Gen2_Liberation'!$C$6/100)</f>
        <v>2.3454666503939448E-2</v>
      </c>
      <c r="H8" s="16">
        <f>'R0031_Gen2_Averages'!H8*('R0031_Gen2_Liberation'!$C$5/100)</f>
        <v>0.11619360117535288</v>
      </c>
      <c r="I8" s="16">
        <f>'R0031_Gen2_Averages'!I8*('R0031_Gen2_Liberation'!$C$5/100)</f>
        <v>7.7530916520213183E-2</v>
      </c>
      <c r="J8" s="16">
        <f>'R0031_Gen2_Averages'!J8*('R0031_Gen2_Liberation'!$C$4/100)</f>
        <v>2.7872583404604908E-2</v>
      </c>
      <c r="K8" s="16">
        <f>'R0031_Gen2_Averages'!K8*('R0031_Gen2_Liberation'!$C$4/100)</f>
        <v>1.746646457329688E-2</v>
      </c>
      <c r="L8" s="16">
        <f>'R0031_Gen2_Averages'!L8*('R0031_Gen2_Liberation'!$C$3/100)</f>
        <v>5.5854949290384932E-2</v>
      </c>
      <c r="M8" s="16">
        <f>'R0031_Gen2_Averages'!M8*('R0031_Gen2_Liberation'!$C$3/100)</f>
        <v>4.9257527336966499E-2</v>
      </c>
      <c r="O8" s="16">
        <f t="shared" ref="O8:O16" si="1">SUM(B8,D8,F8,H8,J8,L8)</f>
        <v>0.37229952190662774</v>
      </c>
      <c r="P8" s="16">
        <f t="shared" si="0"/>
        <v>9.6716980066228697E-2</v>
      </c>
    </row>
    <row r="9" spans="1:16" x14ac:dyDescent="0.25">
      <c r="A9" s="2" t="s">
        <v>16</v>
      </c>
      <c r="B9" s="16">
        <f>'R0031_Gen2_Averages'!B9*('R0031_Gen2_Liberation'!$C$8/100)</f>
        <v>0.24147871073067545</v>
      </c>
      <c r="C9" s="16">
        <f>('R0031_Gen2_Averages'!C9)*('R0031_Gen2_Liberation'!$C$8/100)</f>
        <v>1.3428042329018047E-2</v>
      </c>
      <c r="D9" s="16">
        <f>'R0031_Gen2_Averages'!D9*('R0031_Gen2_Liberation'!$C$7/100)</f>
        <v>0.33940914378160075</v>
      </c>
      <c r="E9" s="16">
        <f>'R0031_Gen2_Averages'!E9*('R0031_Gen2_Liberation'!$C$7/100)</f>
        <v>2.2437302283499005E-2</v>
      </c>
      <c r="F9" s="16">
        <f>'R0031_Gen2_Averages'!F9*('R0031_Gen2_Liberation'!$C$6/100)</f>
        <v>0.57248439728753564</v>
      </c>
      <c r="G9" s="16">
        <f>'R0031_Gen2_Averages'!G9*('R0031_Gen2_Liberation'!$C$6/100)</f>
        <v>7.7709229182515105E-2</v>
      </c>
      <c r="H9" s="16">
        <f>'R0031_Gen2_Averages'!H9*('R0031_Gen2_Liberation'!$C$5/100)</f>
        <v>0.67966293644826437</v>
      </c>
      <c r="I9" s="16">
        <f>'R0031_Gen2_Averages'!I9*('R0031_Gen2_Liberation'!$C$5/100)</f>
        <v>0.12080380835113978</v>
      </c>
      <c r="J9" s="16">
        <f>'R0031_Gen2_Averages'!J9*('R0031_Gen2_Liberation'!$C$4/100)</f>
        <v>0.66811850079699597</v>
      </c>
      <c r="K9" s="16">
        <f>'R0031_Gen2_Averages'!K9*('R0031_Gen2_Liberation'!$C$4/100)</f>
        <v>7.3451566307294824E-2</v>
      </c>
      <c r="L9" s="16">
        <f>'R0031_Gen2_Averages'!L9*('R0031_Gen2_Liberation'!$C$3/100)</f>
        <v>0.28461700459115663</v>
      </c>
      <c r="M9" s="16">
        <f>'R0031_Gen2_Averages'!M9*('R0031_Gen2_Liberation'!$C$3/100)</f>
        <v>5.0037481978867662E-2</v>
      </c>
      <c r="O9" s="16">
        <f t="shared" si="1"/>
        <v>2.7857706936362288</v>
      </c>
      <c r="P9" s="16">
        <f t="shared" si="0"/>
        <v>0.17092370070476184</v>
      </c>
    </row>
    <row r="10" spans="1:16" s="10" customFormat="1" x14ac:dyDescent="0.25">
      <c r="A10" s="14" t="s">
        <v>20</v>
      </c>
      <c r="B10" s="18">
        <f>'R0031_Gen2_Averages'!B10*('R0031_Gen2_Liberation'!$C$8/100)</f>
        <v>7.4329385756406099</v>
      </c>
      <c r="C10" s="18">
        <f>('R0031_Gen2_Averages'!C10)*('R0031_Gen2_Liberation'!$C$8/100)</f>
        <v>2.3026060757448626E-2</v>
      </c>
      <c r="D10" s="18">
        <f>'R0031_Gen2_Averages'!D10*('R0031_Gen2_Liberation'!$C$7/100)</f>
        <v>7.4523000184230561</v>
      </c>
      <c r="E10" s="18">
        <f>'R0031_Gen2_Averages'!E10*('R0031_Gen2_Liberation'!$C$7/100)</f>
        <v>3.7039310857346429E-2</v>
      </c>
      <c r="F10" s="18">
        <f>'R0031_Gen2_Averages'!F10*('R0031_Gen2_Liberation'!$C$6/100)</f>
        <v>13.617964722201883</v>
      </c>
      <c r="G10" s="18">
        <f>'R0031_Gen2_Averages'!G10*('R0031_Gen2_Liberation'!$C$6/100)</f>
        <v>9.0315638583040134E-2</v>
      </c>
      <c r="H10" s="18">
        <f>'R0031_Gen2_Averages'!H10*('R0031_Gen2_Liberation'!$C$5/100)</f>
        <v>19.573869793025551</v>
      </c>
      <c r="I10" s="18">
        <f>'R0031_Gen2_Averages'!I10*('R0031_Gen2_Liberation'!$C$5/100)</f>
        <v>0.22012325429670548</v>
      </c>
      <c r="J10" s="18">
        <f>'R0031_Gen2_Averages'!J10*('R0031_Gen2_Liberation'!$C$4/100)</f>
        <v>19.482095407057361</v>
      </c>
      <c r="K10" s="18">
        <f>'R0031_Gen2_Averages'!K10*('R0031_Gen2_Liberation'!$C$4/100)</f>
        <v>0.20621018310471942</v>
      </c>
      <c r="L10" s="18">
        <f>'R0031_Gen2_Averages'!L10*('R0031_Gen2_Liberation'!$C$3/100)</f>
        <v>8.4617762271668884</v>
      </c>
      <c r="M10" s="18">
        <f>'R0031_Gen2_Averages'!M10*('R0031_Gen2_Liberation'!$C$3/100)</f>
        <v>9.5491934663870542E-2</v>
      </c>
      <c r="O10" s="18">
        <f t="shared" si="1"/>
        <v>76.020944743515358</v>
      </c>
      <c r="P10" s="10">
        <f t="shared" si="0"/>
        <v>0.33189549692570108</v>
      </c>
    </row>
    <row r="11" spans="1:16" s="11" customFormat="1" x14ac:dyDescent="0.25">
      <c r="A11" s="15" t="s">
        <v>17</v>
      </c>
      <c r="B11" s="17">
        <f>'R0031_Gen2_Averages'!B11*('R0031_Gen2_Liberation'!$C$8/100)</f>
        <v>5.6243192732935734</v>
      </c>
      <c r="C11" s="17">
        <f>('R0031_Gen2_Averages'!C11)*('R0031_Gen2_Liberation'!$C$8/100)</f>
        <v>4.8364228497530005E-2</v>
      </c>
      <c r="D11" s="17">
        <f>'R0031_Gen2_Averages'!D11*('R0031_Gen2_Liberation'!$C$7/100)</f>
        <v>5.2901240446838536</v>
      </c>
      <c r="E11" s="17">
        <f>'R0031_Gen2_Averages'!E11*('R0031_Gen2_Liberation'!$C$7/100)</f>
        <v>5.627811496948347E-2</v>
      </c>
      <c r="F11" s="17">
        <f>'R0031_Gen2_Averages'!F11*('R0031_Gen2_Liberation'!$C$6/100)</f>
        <v>9.1773325443536535</v>
      </c>
      <c r="G11" s="17">
        <f>'R0031_Gen2_Averages'!G11*('R0031_Gen2_Liberation'!$C$6/100)</f>
        <v>0.14931631510016713</v>
      </c>
      <c r="H11" s="17">
        <f>'R0031_Gen2_Averages'!H11*('R0031_Gen2_Liberation'!$C$5/100)</f>
        <v>12.794273234448989</v>
      </c>
      <c r="I11" s="17">
        <f>'R0031_Gen2_Averages'!I11*('R0031_Gen2_Liberation'!$C$5/100)</f>
        <v>0.27777589170326039</v>
      </c>
      <c r="J11" s="17">
        <f>'R0031_Gen2_Averages'!J11*('R0031_Gen2_Liberation'!$C$4/100)</f>
        <v>10.250280705162714</v>
      </c>
      <c r="K11" s="17">
        <f>'R0031_Gen2_Averages'!K11*('R0031_Gen2_Liberation'!$C$4/100)</f>
        <v>0.41558010050880134</v>
      </c>
      <c r="L11" s="17">
        <f>'R0031_Gen2_Averages'!L11*('R0031_Gen2_Liberation'!$C$3/100)</f>
        <v>3.5957342079526708</v>
      </c>
      <c r="M11" s="17">
        <f>'R0031_Gen2_Averages'!M11*('R0031_Gen2_Liberation'!$C$3/100)</f>
        <v>0.32002215063873701</v>
      </c>
      <c r="O11" s="17">
        <f t="shared" si="1"/>
        <v>46.73206400989546</v>
      </c>
      <c r="P11" s="11">
        <f t="shared" si="0"/>
        <v>0.6165080126224326</v>
      </c>
    </row>
    <row r="12" spans="1:16" x14ac:dyDescent="0.25">
      <c r="A12" s="2" t="s">
        <v>8</v>
      </c>
      <c r="B12" s="16">
        <f>'R0031_Gen2_Averages'!B12*('R0031_Gen2_Liberation'!$C$8/100)</f>
        <v>5.472952095382718</v>
      </c>
      <c r="C12" s="16">
        <f>('R0031_Gen2_Averages'!C12)*('R0031_Gen2_Liberation'!$C$8/100)</f>
        <v>1.8629040304904542E-2</v>
      </c>
      <c r="D12" s="16">
        <f>'R0031_Gen2_Averages'!D12*('R0031_Gen2_Liberation'!$C$7/100)</f>
        <v>5.1072859796189807</v>
      </c>
      <c r="E12" s="16">
        <f>'R0031_Gen2_Averages'!E12*('R0031_Gen2_Liberation'!$C$7/100)</f>
        <v>3.725850906186115E-2</v>
      </c>
      <c r="F12" s="16">
        <f>'R0031_Gen2_Averages'!F12*('R0031_Gen2_Liberation'!$C$6/100)</f>
        <v>8.8227497954461178</v>
      </c>
      <c r="G12" s="16">
        <f>'R0031_Gen2_Averages'!G12*('R0031_Gen2_Liberation'!$C$6/100)</f>
        <v>0.17555080022328626</v>
      </c>
      <c r="H12" s="16">
        <f>'R0031_Gen2_Averages'!H12*('R0031_Gen2_Liberation'!$C$5/100)</f>
        <v>11.855657282477729</v>
      </c>
      <c r="I12" s="16">
        <f>'R0031_Gen2_Averages'!I12*('R0031_Gen2_Liberation'!$C$5/100)</f>
        <v>0.42606279870902752</v>
      </c>
      <c r="J12" s="16">
        <f>'R0031_Gen2_Averages'!J12*('R0031_Gen2_Liberation'!$C$4/100)</f>
        <v>9.4692319058035785</v>
      </c>
      <c r="K12" s="16">
        <f>'R0031_Gen2_Averages'!K12*('R0031_Gen2_Liberation'!$C$4/100)</f>
        <v>0.31731265906943523</v>
      </c>
      <c r="L12" s="16">
        <f>'R0031_Gen2_Averages'!L12*('R0031_Gen2_Liberation'!$C$3/100)</f>
        <v>2.9631707251256234</v>
      </c>
      <c r="M12" s="16">
        <f>'R0031_Gen2_Averages'!M12*('R0031_Gen2_Liberation'!$C$3/100)</f>
        <v>0.21505030471697575</v>
      </c>
      <c r="O12" s="16">
        <f t="shared" si="1"/>
        <v>43.691047783854742</v>
      </c>
      <c r="P12" s="16">
        <f t="shared" si="0"/>
        <v>0.60084672480390522</v>
      </c>
    </row>
    <row r="13" spans="1:16" x14ac:dyDescent="0.25">
      <c r="A13" s="2" t="s">
        <v>6</v>
      </c>
      <c r="B13" s="16">
        <f>'R0031_Gen2_Averages'!B13*('R0031_Gen2_Liberation'!$C$8/100)</f>
        <v>9.510690644512601E-2</v>
      </c>
      <c r="C13" s="16">
        <f>('R0031_Gen2_Averages'!C13)*('R0031_Gen2_Liberation'!$C$8/100)</f>
        <v>2.0736480762301425E-2</v>
      </c>
      <c r="D13" s="16">
        <f>'R0031_Gen2_Averages'!D13*('R0031_Gen2_Liberation'!$C$7/100)</f>
        <v>0.11365605881129225</v>
      </c>
      <c r="E13" s="16">
        <f>'R0031_Gen2_Averages'!E13*('R0031_Gen2_Liberation'!$C$7/100)</f>
        <v>2.7645139956724171E-2</v>
      </c>
      <c r="F13" s="16">
        <f>'R0031_Gen2_Averages'!F13*('R0031_Gen2_Liberation'!$C$6/100)</f>
        <v>0.14166805870519197</v>
      </c>
      <c r="G13" s="16">
        <f>'R0031_Gen2_Averages'!G13*('R0031_Gen2_Liberation'!$C$6/100)</f>
        <v>2.2926283841678052E-2</v>
      </c>
      <c r="H13" s="16">
        <f>'R0031_Gen2_Averages'!H13*('R0031_Gen2_Liberation'!$C$5/100)</f>
        <v>0.35749070304248959</v>
      </c>
      <c r="I13" s="16">
        <f>'R0031_Gen2_Averages'!I13*('R0031_Gen2_Liberation'!$C$5/100)</f>
        <v>0.10689951813258937</v>
      </c>
      <c r="J13" s="16">
        <f>'R0031_Gen2_Averages'!J13*('R0031_Gen2_Liberation'!$C$4/100)</f>
        <v>4.0014712458882454E-2</v>
      </c>
      <c r="K13" s="16">
        <f>'R0031_Gen2_Averages'!K13*('R0031_Gen2_Liberation'!$C$4/100)</f>
        <v>2.8218136678592052E-2</v>
      </c>
      <c r="L13" s="16">
        <f>'R0031_Gen2_Averages'!L13*('R0031_Gen2_Liberation'!$C$3/100)</f>
        <v>1.8045209639894609E-2</v>
      </c>
      <c r="M13" s="16">
        <f>'R0031_Gen2_Averages'!M13*('R0031_Gen2_Liberation'!$C$3/100)</f>
        <v>1.3832645444794053E-2</v>
      </c>
      <c r="O13" s="16">
        <f t="shared" si="1"/>
        <v>0.76598164910287692</v>
      </c>
      <c r="P13" s="16">
        <f t="shared" si="0"/>
        <v>0.11889063118267242</v>
      </c>
    </row>
    <row r="14" spans="1:16" x14ac:dyDescent="0.25">
      <c r="A14" s="2" t="s">
        <v>14</v>
      </c>
      <c r="B14" s="16">
        <f>'R0031_Gen2_Averages'!B14*('R0031_Gen2_Liberation'!$C$8/100)</f>
        <v>2.1986230884585848E-2</v>
      </c>
      <c r="C14" s="16">
        <f>('R0031_Gen2_Averages'!C14)*('R0031_Gen2_Liberation'!$C$8/100)</f>
        <v>6.5944148197145695E-3</v>
      </c>
      <c r="D14" s="16">
        <f>'R0031_Gen2_Averages'!D14*('R0031_Gen2_Liberation'!$C$7/100)</f>
        <v>4.6932091882901018E-2</v>
      </c>
      <c r="E14" s="16">
        <f>'R0031_Gen2_Averages'!E14*('R0031_Gen2_Liberation'!$C$7/100)</f>
        <v>5.8939451863003582E-3</v>
      </c>
      <c r="F14" s="16">
        <f>'R0031_Gen2_Averages'!F14*('R0031_Gen2_Liberation'!$C$6/100)</f>
        <v>0.17535117401241457</v>
      </c>
      <c r="G14" s="16">
        <f>'R0031_Gen2_Averages'!G14*('R0031_Gen2_Liberation'!$C$6/100)</f>
        <v>6.8199343868400333E-2</v>
      </c>
      <c r="H14" s="16">
        <f>'R0031_Gen2_Averages'!H14*('R0031_Gen2_Liberation'!$C$5/100)</f>
        <v>0.49304808212009532</v>
      </c>
      <c r="I14" s="16">
        <f>'R0031_Gen2_Averages'!I14*('R0031_Gen2_Liberation'!$C$5/100)</f>
        <v>0.22319417707800698</v>
      </c>
      <c r="J14" s="16">
        <f>'R0031_Gen2_Averages'!J14*('R0031_Gen2_Liberation'!$C$4/100)</f>
        <v>0.71474946000442385</v>
      </c>
      <c r="K14" s="16">
        <f>'R0031_Gen2_Averages'!K14*('R0031_Gen2_Liberation'!$C$4/100)</f>
        <v>0.38004058904603238</v>
      </c>
      <c r="L14" s="16">
        <f>'R0031_Gen2_Averages'!L14*('R0031_Gen2_Liberation'!$C$3/100)</f>
        <v>0.5370927676801972</v>
      </c>
      <c r="M14" s="16">
        <f>'R0031_Gen2_Averages'!M14*('R0031_Gen2_Liberation'!$C$3/100)</f>
        <v>0.27621740902858538</v>
      </c>
      <c r="O14" s="16">
        <f t="shared" si="1"/>
        <v>1.9891598065846177</v>
      </c>
      <c r="P14" s="16">
        <f t="shared" si="0"/>
        <v>0.5246636279133543</v>
      </c>
    </row>
    <row r="15" spans="1:16" x14ac:dyDescent="0.25">
      <c r="A15" s="2" t="s">
        <v>15</v>
      </c>
      <c r="B15" s="16">
        <f>'R0031_Gen2_Averages'!B15*('R0031_Gen2_Liberation'!$C$8/100)</f>
        <v>1.5610624093061586E-2</v>
      </c>
      <c r="C15" s="16">
        <f>('R0031_Gen2_Averages'!C15)*('R0031_Gen2_Liberation'!$C$8/100)</f>
        <v>2.2014708851363595E-2</v>
      </c>
      <c r="D15" s="16">
        <f>'R0031_Gen2_Averages'!D15*('R0031_Gen2_Liberation'!$C$7/100)</f>
        <v>1.7631103049802331E-2</v>
      </c>
      <c r="E15" s="16">
        <f>'R0031_Gen2_Averages'!E15*('R0031_Gen2_Liberation'!$C$7/100)</f>
        <v>1.4351926266960599E-2</v>
      </c>
      <c r="F15" s="16">
        <f>'R0031_Gen2_Averages'!F15*('R0031_Gen2_Liberation'!$C$6/100)</f>
        <v>2.8660156253294728E-2</v>
      </c>
      <c r="G15" s="16">
        <f>'R0031_Gen2_Averages'!G15*('R0031_Gen2_Liberation'!$C$6/100)</f>
        <v>8.9438735834969901E-3</v>
      </c>
      <c r="H15" s="16">
        <f>'R0031_Gen2_Averages'!H15*('R0031_Gen2_Liberation'!$C$5/100)</f>
        <v>4.1533848577231247E-2</v>
      </c>
      <c r="I15" s="16">
        <f>'R0031_Gen2_Averages'!I15*('R0031_Gen2_Liberation'!$C$5/100)</f>
        <v>6.7745465047189821E-3</v>
      </c>
      <c r="J15" s="16">
        <f>'R0031_Gen2_Averages'!J15*('R0031_Gen2_Liberation'!$C$4/100)</f>
        <v>1.7957926504205815E-2</v>
      </c>
      <c r="K15" s="16">
        <f>'R0031_Gen2_Averages'!K15*('R0031_Gen2_Liberation'!$C$4/100)</f>
        <v>3.1104041103872229E-2</v>
      </c>
      <c r="L15" s="16">
        <f>'R0031_Gen2_Averages'!L15*('R0031_Gen2_Liberation'!$C$3/100)</f>
        <v>7.7425505506955927E-2</v>
      </c>
      <c r="M15" s="16">
        <f>'R0031_Gen2_Averages'!M15*('R0031_Gen2_Liberation'!$C$3/100)</f>
        <v>0.12359580218915972</v>
      </c>
      <c r="O15" s="16">
        <f t="shared" si="1"/>
        <v>0.19881916398455163</v>
      </c>
      <c r="P15" s="16">
        <f t="shared" si="0"/>
        <v>0.13061353773701265</v>
      </c>
    </row>
    <row r="16" spans="1:16" x14ac:dyDescent="0.25">
      <c r="A16" s="2" t="s">
        <v>16</v>
      </c>
      <c r="B16" s="16">
        <f>'R0031_Gen2_Averages'!B16*('R0031_Gen2_Liberation'!$C$8/100)</f>
        <v>1.6311839185828705E-2</v>
      </c>
      <c r="C16" s="16">
        <f>('R0031_Gen2_Averages'!C16)*('R0031_Gen2_Liberation'!$C$8/100)</f>
        <v>1.8516384087647612E-2</v>
      </c>
      <c r="D16" s="16">
        <f>'R0031_Gen2_Averages'!D16*('R0031_Gen2_Liberation'!$C$7/100)</f>
        <v>4.6188113208771326E-3</v>
      </c>
      <c r="E16" s="16">
        <f>'R0031_Gen2_Averages'!E16*('R0031_Gen2_Liberation'!$C$7/100)</f>
        <v>3.7884610622648707E-3</v>
      </c>
      <c r="F16" s="16">
        <f>'R0031_Gen2_Averages'!F16*('R0031_Gen2_Liberation'!$C$6/100)</f>
        <v>8.9033599366345681E-3</v>
      </c>
      <c r="G16" s="16">
        <f>'R0031_Gen2_Averages'!G16*('R0031_Gen2_Liberation'!$C$6/100)</f>
        <v>3.0664327398963256E-3</v>
      </c>
      <c r="H16" s="16">
        <f>'R0031_Gen2_Averages'!H16*('R0031_Gen2_Liberation'!$C$5/100)</f>
        <v>4.6543318231441415E-2</v>
      </c>
      <c r="I16" s="16">
        <f>'R0031_Gen2_Averages'!I16*('R0031_Gen2_Liberation'!$C$5/100)</f>
        <v>6.1310012636990603E-2</v>
      </c>
      <c r="J16" s="16">
        <f>'R0031_Gen2_Averages'!J16*('R0031_Gen2_Liberation'!$C$4/100)</f>
        <v>8.3267003916223329E-3</v>
      </c>
      <c r="K16" s="16">
        <f>'R0031_Gen2_Averages'!K16*('R0031_Gen2_Liberation'!$C$4/100)</f>
        <v>7.038732860973629E-3</v>
      </c>
      <c r="L16" s="16">
        <f>'R0031_Gen2_Averages'!L16*('R0031_Gen2_Liberation'!$C$3/100)</f>
        <v>0</v>
      </c>
      <c r="M16" s="16">
        <f>'R0031_Gen2_Averages'!M16*('R0031_Gen2_Liberation'!$C$3/100)</f>
        <v>0</v>
      </c>
      <c r="O16" s="16">
        <f t="shared" si="1"/>
        <v>8.470402906640416E-2</v>
      </c>
      <c r="P16" s="16">
        <f t="shared" si="0"/>
        <v>6.4614807408874889E-2</v>
      </c>
    </row>
    <row r="17" spans="1:16" s="20" customFormat="1" x14ac:dyDescent="0.25">
      <c r="A17" s="12" t="s">
        <v>18</v>
      </c>
      <c r="B17" s="19">
        <f>'R0031_Gen2_Averages'!B17*('R0031_Gen2_Liberation'!$C$8/100)</f>
        <v>1.8086193023470358</v>
      </c>
      <c r="C17" s="19">
        <f>('R0031_Gen2_Averages'!C17)*('R0031_Gen2_Liberation'!$C$8/100)</f>
        <v>4.9351392121739876E-2</v>
      </c>
      <c r="D17" s="19">
        <f>'R0031_Gen2_Averages'!D17*('R0031_Gen2_Liberation'!$C$7/100)</f>
        <v>2.162175973739203</v>
      </c>
      <c r="E17" s="19">
        <f>'R0031_Gen2_Averages'!E17*('R0031_Gen2_Liberation'!$C$7/100)</f>
        <v>6.0253716854593263E-2</v>
      </c>
      <c r="F17" s="19">
        <f>'R0031_Gen2_Averages'!F17*('R0031_Gen2_Liberation'!$C$6/100)</f>
        <v>4.4406321778482285</v>
      </c>
      <c r="G17" s="19">
        <f>'R0031_Gen2_Averages'!G17*('R0031_Gen2_Liberation'!$C$6/100)</f>
        <v>0.18806656095363558</v>
      </c>
      <c r="H17" s="19">
        <f>'R0031_Gen2_Averages'!H17*('R0031_Gen2_Liberation'!$C$5/100)</f>
        <v>6.7795965585765599</v>
      </c>
      <c r="I17" s="19">
        <f>'R0031_Gen2_Averages'!I17*('R0031_Gen2_Liberation'!$C$5/100)</f>
        <v>0.27014136708054892</v>
      </c>
      <c r="J17" s="19">
        <f>'R0031_Gen2_Averages'!J17*('R0031_Gen2_Liberation'!$C$4/100)</f>
        <v>9.2318147018946473</v>
      </c>
      <c r="K17" s="19">
        <f>'R0031_Gen2_Averages'!K17*('R0031_Gen2_Liberation'!$C$4/100)</f>
        <v>0.43458734554334816</v>
      </c>
      <c r="L17" s="19">
        <f>'R0031_Gen2_Averages'!L17*('R0031_Gen2_Liberation'!$C$3/100)</f>
        <v>4.8660420192142162</v>
      </c>
      <c r="M17" s="19">
        <f>'R0031_Gen2_Averages'!M17*('R0031_Gen2_Liberation'!$C$3/100)</f>
        <v>0.3709917849740279</v>
      </c>
      <c r="O17" s="19">
        <f>SUM(B17,D17,F17,H17,J17,L17)</f>
        <v>29.288880733619894</v>
      </c>
      <c r="P17" s="20">
        <f t="shared" si="0"/>
        <v>0.66401244361898182</v>
      </c>
    </row>
    <row r="18" spans="1:16" x14ac:dyDescent="0.25">
      <c r="A18" s="2" t="s">
        <v>8</v>
      </c>
      <c r="B18" s="16">
        <f>'R0031_Gen2_Averages'!B18*('R0031_Gen2_Liberation'!$C$8/100)</f>
        <v>4.2545312668109412E-3</v>
      </c>
      <c r="C18" s="16">
        <f>('R0031_Gen2_Averages'!C18)*('R0031_Gen2_Liberation'!$C$8/100)</f>
        <v>2.5127028236380565E-3</v>
      </c>
      <c r="D18" s="16">
        <f>'R0031_Gen2_Averages'!D18*('R0031_Gen2_Liberation'!$C$7/100)</f>
        <v>4.2975807762720541E-3</v>
      </c>
      <c r="E18" s="16">
        <f>'R0031_Gen2_Averages'!E18*('R0031_Gen2_Liberation'!$C$7/100)</f>
        <v>2.1836051995028044E-3</v>
      </c>
      <c r="F18" s="16">
        <f>'R0031_Gen2_Averages'!F18*('R0031_Gen2_Liberation'!$C$6/100)</f>
        <v>2.2860568476969385E-2</v>
      </c>
      <c r="G18" s="16">
        <f>'R0031_Gen2_Averages'!G18*('R0031_Gen2_Liberation'!$C$6/100)</f>
        <v>1.1945633508902665E-2</v>
      </c>
      <c r="H18" s="16">
        <f>'R0031_Gen2_Averages'!H18*('R0031_Gen2_Liberation'!$C$5/100)</f>
        <v>0.18956363820591313</v>
      </c>
      <c r="I18" s="16">
        <f>'R0031_Gen2_Averages'!I18*('R0031_Gen2_Liberation'!$C$5/100)</f>
        <v>0.10380383814342738</v>
      </c>
      <c r="J18" s="16">
        <f>'R0031_Gen2_Averages'!J18*('R0031_Gen2_Liberation'!$C$4/100)</f>
        <v>0.70430352288840048</v>
      </c>
      <c r="K18" s="16">
        <f>'R0031_Gen2_Averages'!K18*('R0031_Gen2_Liberation'!$C$4/100)</f>
        <v>0.26871011142542045</v>
      </c>
      <c r="L18" s="16">
        <f>'R0031_Gen2_Averages'!L18*('R0031_Gen2_Liberation'!$C$3/100)</f>
        <v>0.33600812402429742</v>
      </c>
      <c r="M18" s="16">
        <f>'R0031_Gen2_Averages'!M18*('R0031_Gen2_Liberation'!$C$3/100)</f>
        <v>4.396951458642024E-2</v>
      </c>
      <c r="O18" s="16">
        <f>SUM(B18,D18,F18,H18,J18,L18)</f>
        <v>1.2612879656386633</v>
      </c>
      <c r="P18" s="16">
        <f t="shared" si="0"/>
        <v>0.29166326298594825</v>
      </c>
    </row>
    <row r="19" spans="1:16" x14ac:dyDescent="0.25">
      <c r="A19" s="2" t="s">
        <v>6</v>
      </c>
      <c r="B19" s="16">
        <f>'R0031_Gen2_Averages'!B19*('R0031_Gen2_Liberation'!$C$8/100)</f>
        <v>1.7606209519808427</v>
      </c>
      <c r="C19" s="16">
        <f>('R0031_Gen2_Averages'!C19)*('R0031_Gen2_Liberation'!$C$8/100)</f>
        <v>5.0380329269633504E-2</v>
      </c>
      <c r="D19" s="16">
        <f>'R0031_Gen2_Averages'!D19*('R0031_Gen2_Liberation'!$C$7/100)</f>
        <v>2.0756497066284676</v>
      </c>
      <c r="E19" s="16">
        <f>'R0031_Gen2_Averages'!E19*('R0031_Gen2_Liberation'!$C$7/100)</f>
        <v>6.5715617343331076E-2</v>
      </c>
      <c r="F19" s="16">
        <f>'R0031_Gen2_Averages'!F19*('R0031_Gen2_Liberation'!$C$6/100)</f>
        <v>4.0805670142448189</v>
      </c>
      <c r="G19" s="16">
        <f>'R0031_Gen2_Averages'!G19*('R0031_Gen2_Liberation'!$C$6/100)</f>
        <v>0.17911977446781507</v>
      </c>
      <c r="H19" s="16">
        <f>'R0031_Gen2_Averages'!H19*('R0031_Gen2_Liberation'!$C$5/100)</f>
        <v>5.7763634817310221</v>
      </c>
      <c r="I19" s="16">
        <f>'R0031_Gen2_Averages'!I19*('R0031_Gen2_Liberation'!$C$5/100)</f>
        <v>0.17864566774333795</v>
      </c>
      <c r="J19" s="16">
        <f>'R0031_Gen2_Averages'!J19*('R0031_Gen2_Liberation'!$C$4/100)</f>
        <v>6.6672277904405322</v>
      </c>
      <c r="K19" s="16">
        <f>'R0031_Gen2_Averages'!K19*('R0031_Gen2_Liberation'!$C$4/100)</f>
        <v>0.37426232925783548</v>
      </c>
      <c r="L19" s="16">
        <f>'R0031_Gen2_Averages'!L19*('R0031_Gen2_Liberation'!$C$3/100)</f>
        <v>2.5167131442264075</v>
      </c>
      <c r="M19" s="16">
        <f>'R0031_Gen2_Averages'!M19*('R0031_Gen2_Liberation'!$C$3/100)</f>
        <v>0.16347757273230781</v>
      </c>
      <c r="O19" s="16">
        <f t="shared" ref="O19:O22" si="2">SUM(B19,D19,F19,H19,J19,L19)</f>
        <v>22.877142089252089</v>
      </c>
      <c r="P19" s="16">
        <f t="shared" si="0"/>
        <v>0.48749573950645281</v>
      </c>
    </row>
    <row r="20" spans="1:16" x14ac:dyDescent="0.25">
      <c r="A20" s="2" t="s">
        <v>14</v>
      </c>
      <c r="B20" s="16">
        <f>'R0031_Gen2_Averages'!B20*('R0031_Gen2_Liberation'!$C$8/100)</f>
        <v>7.9158682490374638E-3</v>
      </c>
      <c r="C20" s="16">
        <f>('R0031_Gen2_Averages'!C20)*('R0031_Gen2_Liberation'!$C$8/100)</f>
        <v>2.5927762035902953E-4</v>
      </c>
      <c r="D20" s="16">
        <f>'R0031_Gen2_Averages'!D20*('R0031_Gen2_Liberation'!$C$7/100)</f>
        <v>2.5123500152869561E-2</v>
      </c>
      <c r="E20" s="16">
        <f>'R0031_Gen2_Averages'!E20*('R0031_Gen2_Liberation'!$C$7/100)</f>
        <v>4.3633077943793508E-3</v>
      </c>
      <c r="F20" s="16">
        <f>'R0031_Gen2_Averages'!F20*('R0031_Gen2_Liberation'!$C$6/100)</f>
        <v>0.1153252092121306</v>
      </c>
      <c r="G20" s="16">
        <f>'R0031_Gen2_Averages'!G20*('R0031_Gen2_Liberation'!$C$6/100)</f>
        <v>1.7058235044690701E-2</v>
      </c>
      <c r="H20" s="16">
        <f>'R0031_Gen2_Averages'!H20*('R0031_Gen2_Liberation'!$C$5/100)</f>
        <v>0.37133227056810503</v>
      </c>
      <c r="I20" s="16">
        <f>'R0031_Gen2_Averages'!I20*('R0031_Gen2_Liberation'!$C$5/100)</f>
        <v>0.12711634376061492</v>
      </c>
      <c r="J20" s="16">
        <f>'R0031_Gen2_Averages'!J20*('R0031_Gen2_Liberation'!$C$4/100)</f>
        <v>0.99779628525951747</v>
      </c>
      <c r="K20" s="16">
        <f>'R0031_Gen2_Averages'!K20*('R0031_Gen2_Liberation'!$C$4/100)</f>
        <v>0.31141121309171327</v>
      </c>
      <c r="L20" s="16">
        <f>'R0031_Gen2_Averages'!L20*('R0031_Gen2_Liberation'!$C$3/100)</f>
        <v>1.1407027612814644</v>
      </c>
      <c r="M20" s="16">
        <f>'R0031_Gen2_Averages'!M20*('R0031_Gen2_Liberation'!$C$3/100)</f>
        <v>0.20577790887309699</v>
      </c>
      <c r="O20" s="16">
        <f t="shared" si="2"/>
        <v>2.6581958947231246</v>
      </c>
      <c r="P20" s="16">
        <f t="shared" si="0"/>
        <v>0.39470260365639437</v>
      </c>
    </row>
    <row r="21" spans="1:16" x14ac:dyDescent="0.25">
      <c r="A21" s="2" t="s">
        <v>15</v>
      </c>
      <c r="B21" s="16">
        <f>'R0031_Gen2_Averages'!B21*('R0031_Gen2_Liberation'!$C$8/100)</f>
        <v>2.6147349832350709E-2</v>
      </c>
      <c r="C21" s="16">
        <f>('R0031_Gen2_Averages'!C21)*('R0031_Gen2_Liberation'!$C$8/100)</f>
        <v>5.1600289245303061E-3</v>
      </c>
      <c r="D21" s="16">
        <f>'R0031_Gen2_Averages'!D21*('R0031_Gen2_Liberation'!$C$7/100)</f>
        <v>5.1552658308881352E-2</v>
      </c>
      <c r="E21" s="16">
        <f>'R0031_Gen2_Averages'!E21*('R0031_Gen2_Liberation'!$C$7/100)</f>
        <v>1.2473746812288293E-2</v>
      </c>
      <c r="F21" s="16">
        <f>'R0031_Gen2_Averages'!F21*('R0031_Gen2_Liberation'!$C$6/100)</f>
        <v>0.17359291958444081</v>
      </c>
      <c r="G21" s="16">
        <f>'R0031_Gen2_Averages'!G21*('R0031_Gen2_Liberation'!$C$6/100)</f>
        <v>3.6518273829447626E-2</v>
      </c>
      <c r="H21" s="16">
        <f>'R0031_Gen2_Averages'!H21*('R0031_Gen2_Liberation'!$C$5/100)</f>
        <v>0.34284424778252565</v>
      </c>
      <c r="I21" s="16">
        <f>'R0031_Gen2_Averages'!I21*('R0031_Gen2_Liberation'!$C$5/100)</f>
        <v>7.1010595394689666E-2</v>
      </c>
      <c r="J21" s="16">
        <f>'R0031_Gen2_Averages'!J21*('R0031_Gen2_Liberation'!$C$4/100)</f>
        <v>0.75088799436615039</v>
      </c>
      <c r="K21" s="16">
        <f>'R0031_Gen2_Averages'!K21*('R0031_Gen2_Liberation'!$C$4/100)</f>
        <v>1.826609478978709E-2</v>
      </c>
      <c r="L21" s="16">
        <f>'R0031_Gen2_Averages'!L21*('R0031_Gen2_Liberation'!$C$3/100)</f>
        <v>0.8574185939388943</v>
      </c>
      <c r="M21" s="16">
        <f>'R0031_Gen2_Averages'!M21*('R0031_Gen2_Liberation'!$C$3/100)</f>
        <v>0.1353992479615086</v>
      </c>
      <c r="O21" s="16">
        <f t="shared" si="2"/>
        <v>2.2024437638132435</v>
      </c>
      <c r="P21" s="16">
        <f t="shared" si="0"/>
        <v>0.1588235366916424</v>
      </c>
    </row>
    <row r="22" spans="1:16" x14ac:dyDescent="0.25">
      <c r="A22" s="2" t="s">
        <v>16</v>
      </c>
      <c r="B22" s="16">
        <f>'R0031_Gen2_Averages'!B22*('R0031_Gen2_Liberation'!$C$8/100)</f>
        <v>9.6806010179938118E-3</v>
      </c>
      <c r="C22" s="16">
        <f>('R0031_Gen2_Averages'!C22)*('R0031_Gen2_Liberation'!$C$8/100)</f>
        <v>1.5760361900861058E-3</v>
      </c>
      <c r="D22" s="16">
        <f>'R0031_Gen2_Averages'!D22*('R0031_Gen2_Liberation'!$C$7/100)</f>
        <v>5.5525278727121931E-3</v>
      </c>
      <c r="E22" s="16">
        <f>'R0031_Gen2_Averages'!E22*('R0031_Gen2_Liberation'!$C$7/100)</f>
        <v>2.7995896147333926E-3</v>
      </c>
      <c r="F22" s="16">
        <f>'R0031_Gen2_Averages'!F22*('R0031_Gen2_Liberation'!$C$6/100)</f>
        <v>4.828646632986934E-2</v>
      </c>
      <c r="G22" s="16">
        <f>'R0031_Gen2_Averages'!G22*('R0031_Gen2_Liberation'!$C$6/100)</f>
        <v>1.3595338697709703E-2</v>
      </c>
      <c r="H22" s="16">
        <f>'R0031_Gen2_Averages'!H22*('R0031_Gen2_Liberation'!$C$5/100)</f>
        <v>9.949292028899516E-2</v>
      </c>
      <c r="I22" s="16">
        <f>'R0031_Gen2_Averages'!I22*('R0031_Gen2_Liberation'!$C$5/100)</f>
        <v>6.681249831925562E-2</v>
      </c>
      <c r="J22" s="16">
        <f>'R0031_Gen2_Averages'!J22*('R0031_Gen2_Liberation'!$C$4/100)</f>
        <v>0.11159910894004585</v>
      </c>
      <c r="K22" s="16">
        <f>'R0031_Gen2_Averages'!K22*('R0031_Gen2_Liberation'!$C$4/100)</f>
        <v>2.5392181555023867E-2</v>
      </c>
      <c r="L22" s="16">
        <f>'R0031_Gen2_Averages'!L22*('R0031_Gen2_Liberation'!$C$3/100)</f>
        <v>1.519939574315312E-2</v>
      </c>
      <c r="M22" s="16">
        <f>'R0031_Gen2_Averages'!M22*('R0031_Gen2_Liberation'!$C$3/100)</f>
        <v>7.712368729835487E-3</v>
      </c>
      <c r="O22" s="16">
        <f t="shared" si="2"/>
        <v>0.2898110201927695</v>
      </c>
      <c r="P22" s="16">
        <f t="shared" si="0"/>
        <v>7.3234611172570602E-2</v>
      </c>
    </row>
    <row r="24" spans="1:16" x14ac:dyDescent="0.25">
      <c r="A24" t="s">
        <v>109</v>
      </c>
      <c r="O24" s="16"/>
    </row>
    <row r="25" spans="1:16" x14ac:dyDescent="0.25">
      <c r="A25" t="s">
        <v>110</v>
      </c>
      <c r="B25" s="46">
        <v>1</v>
      </c>
      <c r="C25" s="47">
        <f>B25</f>
        <v>1</v>
      </c>
      <c r="D25" s="45">
        <v>2</v>
      </c>
      <c r="E25" s="47">
        <f>D25</f>
        <v>2</v>
      </c>
      <c r="F25" s="45">
        <v>2.8</v>
      </c>
      <c r="G25" s="47">
        <f>F25</f>
        <v>2.8</v>
      </c>
      <c r="H25" s="45">
        <v>4</v>
      </c>
      <c r="I25" s="47">
        <f>H25</f>
        <v>4</v>
      </c>
      <c r="J25" s="45">
        <v>5.6</v>
      </c>
      <c r="K25" s="47">
        <f>J25</f>
        <v>5.6</v>
      </c>
      <c r="L25" s="45">
        <v>8</v>
      </c>
      <c r="M25" s="47">
        <f>L25</f>
        <v>8</v>
      </c>
      <c r="O25" s="16" t="s">
        <v>75</v>
      </c>
    </row>
    <row r="26" spans="1:16" x14ac:dyDescent="0.25">
      <c r="A26" s="2" t="s">
        <v>77</v>
      </c>
      <c r="B26">
        <f>(B8+B9+($L$40+$L$41)*B7)/B4</f>
        <v>0.75792689157877868</v>
      </c>
      <c r="C26" s="48">
        <f>(SQRT(SUMSQ(
(100*(C4/B4)),
(100*(SQRT(SUMSQ(C8,C9)))/(B8+B9))
)))
*0.01*((B8+B9)/B4)</f>
        <v>6.1295150313451098E-2</v>
      </c>
      <c r="D26">
        <f>(D8+D9+($L$40+$L$41)*D7)/D4</f>
        <v>0.8656367425259831</v>
      </c>
      <c r="E26" s="48">
        <f>(SQRT(SUMSQ(
(100*(E4/D4)),
(100*(SQRT(SUMSQ(E8,E9)))/(D8+D9))
)))
*0.01*((D8+D9)/D4)</f>
        <v>8.7826978784351556E-2</v>
      </c>
      <c r="F26">
        <f>(F8+F9+($L$40+$L$41)*F7)/F4</f>
        <v>0.86686410070855713</v>
      </c>
      <c r="G26" s="48">
        <f>(SQRT(SUMSQ(
(100*(G4/F4)),
(100*(SQRT(SUMSQ(G8,G9)))/(F8+F9))
)))
*0.01*((F8+F9)/F4)</f>
        <v>0.14757454847911514</v>
      </c>
      <c r="H26">
        <f>(H8+H9+($L$40+$L$41)*H7)/H4</f>
        <v>0.81690480523865461</v>
      </c>
      <c r="I26" s="48">
        <f>(SQRT(SUMSQ(
(100*(I4/H4)),
(100*(SQRT(SUMSQ(I8,I9)))/(H8+H9))
)))
*0.01*((H8+H9)/H4)</f>
        <v>0.23525057209569705</v>
      </c>
      <c r="J26">
        <f>(J8+J9+($L$40+$L$41)*J7)/J4</f>
        <v>0.80039436005163134</v>
      </c>
      <c r="K26" s="48">
        <f>(SQRT(SUMSQ(
(100*(K4/J4)),
(100*(SQRT(SUMSQ(K8,K9)))/(J8+J9))
)))
*0.01*((J8+J9)/J4)</f>
        <v>0.20254209258417988</v>
      </c>
      <c r="L26">
        <f>(L8+L9+($L$40+$L$41)*L7)/L4</f>
        <v>0.69538490244230888</v>
      </c>
      <c r="M26" s="48">
        <f>(SQRT(SUMSQ(
(100*(M4/L4)),
(100*(SQRT(SUMSQ(M8,M9)))/(L8+L9))
)))
*0.01*((L8+L9)/L4)</f>
        <v>0.19148956945725093</v>
      </c>
      <c r="O26">
        <f>(O8+O9+($L$40+$L$41)*O7)/O4</f>
        <v>0.80748165596041666</v>
      </c>
      <c r="P26" s="48">
        <f>(SQRT(SUMSQ(
(100*(P4/O4)),
(100*(SQRT(SUMSQ(P8,P9)))/(O8+O9))
)))
*0.01*((O8+O9)/O4)</f>
        <v>8.3848832523363004E-2</v>
      </c>
    </row>
    <row r="27" spans="1:16" x14ac:dyDescent="0.25">
      <c r="A27" s="2" t="s">
        <v>45</v>
      </c>
      <c r="B27">
        <f>(B12+B14*$L$38)/B11</f>
        <v>0.97434145620860912</v>
      </c>
      <c r="C27" s="48">
        <f>(SQRT(SUMSQ(
(100*C11/B11),
(100*C12/B12)
)))
*0.01*(B12/B11)</f>
        <v>8.9994018056815082E-3</v>
      </c>
      <c r="D27">
        <f>(D12+D14*$L$38)/D11</f>
        <v>0.96828474087768435</v>
      </c>
      <c r="E27" s="48">
        <f>(SQRT(SUMSQ(
(100*E11/D11),
(100*E12/D12)
)))
*0.01*(D12/D11)</f>
        <v>1.2453536796569842E-2</v>
      </c>
      <c r="F27">
        <f>(F12+F14*$L$38)/F11</f>
        <v>0.96749459364101598</v>
      </c>
      <c r="G27" s="48">
        <f>(SQRT(SUMSQ(
(100*G11/F11),
(100*G12/F12)
)))
*0.01*(F12/F11)</f>
        <v>2.4709614719450577E-2</v>
      </c>
      <c r="H27">
        <f>(H12+H14*$L$38)/H11</f>
        <v>0.93900412797393973</v>
      </c>
      <c r="I27" s="48">
        <f>(SQRT(SUMSQ(
(100*I11/H11),
(100*I12/H12)
)))
*0.01*(H12/H11)</f>
        <v>3.8906322316430743E-2</v>
      </c>
      <c r="J27">
        <f>(J12+J14*$L$38)/J11</f>
        <v>0.94617833332396639</v>
      </c>
      <c r="K27" s="48">
        <f>(SQRT(SUMSQ(
(100*K11/J11),
(100*K12/J12)
)))
*0.01*(J12/J11)</f>
        <v>4.8591198803415378E-2</v>
      </c>
      <c r="L27">
        <f>(L12+L14*$L$38)/L11</f>
        <v>0.87201180355080277</v>
      </c>
      <c r="M27" s="48">
        <f>(SQRT(SUMSQ(
(100*M11/L11),
(100*M12/L12)
)))
*0.01*(L12/L11)</f>
        <v>9.463694764864887E-2</v>
      </c>
      <c r="O27">
        <f>(O12+O14*$L$38)/O11</f>
        <v>0.94858564344848151</v>
      </c>
      <c r="P27" s="48">
        <f>(SQRT(SUMSQ(
(100*P11/O11),
(100*P12/O12)
)))
*0.01*(O12/O11)</f>
        <v>1.7816706913596572E-2</v>
      </c>
    </row>
    <row r="28" spans="1:16" x14ac:dyDescent="0.25">
      <c r="A28" s="2" t="s">
        <v>46</v>
      </c>
      <c r="B28">
        <f>(B19+B20*$L$39)/B17</f>
        <v>0.97608425843249647</v>
      </c>
      <c r="C28" s="48">
        <f>(SQRT(SUMSQ(
(100*C17/B17),
(100*C19/B19)
)))
*0.01*(B19/B17)</f>
        <v>3.8490415600287896E-2</v>
      </c>
      <c r="D28">
        <f>(D19+D20*$L$39)/D17</f>
        <v>0.96694530146550273</v>
      </c>
      <c r="E28" s="48">
        <f>(SQRT(SUMSQ(
(100*E17/D17),
(100*E19/D19)
)))
*0.01*(D19/D17)</f>
        <v>4.0489745651601509E-2</v>
      </c>
      <c r="F28">
        <f>(F19+F20*$L$39)/F17</f>
        <v>0.9344795448126052</v>
      </c>
      <c r="G28" s="48">
        <f>(SQRT(SUMSQ(
(100*G17/F17),
(100*G19/F19)
)))
*0.01*(F19/F17)</f>
        <v>5.6049905627672973E-2</v>
      </c>
      <c r="H28">
        <f>(H19+H20*$L$39)/H17</f>
        <v>0.88484589126753144</v>
      </c>
      <c r="I28" s="48">
        <f>(SQRT(SUMSQ(
(100*I17/H17),
(100*I19/H19)
)))
*0.01*(H19/H17)</f>
        <v>4.2976047977935951E-2</v>
      </c>
      <c r="J28">
        <f>(J19+J20*$L$39)/J17</f>
        <v>0.78697358746528723</v>
      </c>
      <c r="K28" s="48">
        <f>(SQRT(SUMSQ(
(100*K17/J17),
(100*K19/J19)
)))
*0.01*(J19/J17)</f>
        <v>5.2909056031938198E-2</v>
      </c>
      <c r="L28">
        <f>(L19+L20*$L$39)/L17</f>
        <v>0.65768476682465005</v>
      </c>
      <c r="M28" s="48">
        <f>(SQRT(SUMSQ(
(100*M17/L17),
(100*M19/L19)
)))
*0.01*(L19/L17)</f>
        <v>5.1802785987485209E-2</v>
      </c>
      <c r="O28">
        <f>(O19+O20*$L$39)/O17</f>
        <v>0.83547627145248493</v>
      </c>
      <c r="P28" s="48">
        <f>(SQRT(SUMSQ(
(100*P17/O17),
(100*P19/O19)
)))
*0.01*(O19/O17)</f>
        <v>2.4302539275081671E-2</v>
      </c>
    </row>
    <row r="30" spans="1:16" x14ac:dyDescent="0.25">
      <c r="A30" t="s">
        <v>114</v>
      </c>
      <c r="B30" s="46">
        <v>1</v>
      </c>
      <c r="C30" s="47">
        <f>B30</f>
        <v>1</v>
      </c>
      <c r="D30" s="45">
        <v>2</v>
      </c>
      <c r="E30" s="47">
        <f>D30</f>
        <v>2</v>
      </c>
      <c r="F30" s="45">
        <v>2.8</v>
      </c>
      <c r="G30" s="47">
        <f>F30</f>
        <v>2.8</v>
      </c>
      <c r="H30" s="45">
        <v>4</v>
      </c>
      <c r="I30" s="47">
        <f>H30</f>
        <v>4</v>
      </c>
      <c r="J30" s="45">
        <v>5.6</v>
      </c>
      <c r="K30" s="47">
        <f>J30</f>
        <v>5.6</v>
      </c>
      <c r="L30" s="45">
        <v>8</v>
      </c>
      <c r="M30" s="47">
        <f>L30</f>
        <v>8</v>
      </c>
      <c r="O30" t="s">
        <v>78</v>
      </c>
    </row>
    <row r="31" spans="1:16" x14ac:dyDescent="0.25">
      <c r="A31" s="2" t="s">
        <v>77</v>
      </c>
      <c r="B31">
        <f>(B9+B8)/(B8+B9+B15+B16+B21+B22+(B20+B14+B7)*($L$40+$L$41))</f>
        <v>0.79740415186027847</v>
      </c>
      <c r="C31" s="48">
        <f>SQRT(SUMSQ((100*(SQRT(SUMSQ(C8,C9,C15,C16,C21,C22)))/(B8+B9+B15+B16+B21+B22)),(100*(SQRT(SUMSQ(C8,C9)))/(B9+B8))))*0.01*((B8+B9)/(B8+B9+B15+B16+B21+B22))</f>
        <v>8.6540015763961281E-2</v>
      </c>
      <c r="D31">
        <f>(D9+D8)/(D8+D9+D15+D16+D21+D22+(D20+D14+D7)*($L$40+$L$41))</f>
        <v>0.8180590428525929</v>
      </c>
      <c r="E31" s="48">
        <f>SQRT(SUMSQ((100*(SQRT(SUMSQ(E8,E9,E15,E16,E21,E22)))/(D8+D9+D15+D16+D21+D22)),(100*(SQRT(SUMSQ(E8,E9)))/(D9+D8))))*0.01*((D8+D9)/(D8+D9+D15+D16+D21+D22))</f>
        <v>7.313874866178588E-2</v>
      </c>
      <c r="F31">
        <f>(F9+F8)/(F8+F9+F15+F16+F21+F22+(F20+F14+F7)*($L$40+$L$41))</f>
        <v>0.69780001926319224</v>
      </c>
      <c r="G31" s="48">
        <f>SQRT(SUMSQ((100*(SQRT(SUMSQ(G8,G9,G15,G16,G21,G22)))/(F8+F9+F15+F16+F21+F22)),(100*(SQRT(SUMSQ(G8,G9)))/(F9+F8))))*0.01*((F8+F9)/(F8+F9+F15+F16+F21+F22))</f>
        <v>0.11323710812814526</v>
      </c>
      <c r="H31">
        <f>(H9+H8)/(H8+H9+H15+H16+H21+H22+(H20+H14+H7)*($L$40+$L$41))</f>
        <v>0.56961028811793735</v>
      </c>
      <c r="I31" s="48">
        <f>SQRT(SUMSQ((100*(SQRT(SUMSQ(I8,I9,I15,I16,I21,I22)))/(H8+H9+H15+H16+H21+H22)),(100*(SQRT(SUMSQ(I8,I9)))/(H9+H8))))*0.01*((H8+H9)/(H8+H9+H15+H16+H21+H22))</f>
        <v>0.13658985511163588</v>
      </c>
      <c r="J31">
        <f>(J9+J8)/(J8+J9+J15+J16+J21+J22+(J20+J14+J7)*($L$40+$L$41))</f>
        <v>0.40160759867712365</v>
      </c>
      <c r="K31" s="48">
        <f>SQRT(SUMSQ((100*(SQRT(SUMSQ(K8,K9,K15,K16,K21,K22)))/(J8+J9+J15+J16+J21+J22)),(100*(SQRT(SUMSQ(K8,K9)))/(J9+J8))))*0.01*((J8+J9)/(J8+J9+J15+J16+J21+J22))</f>
        <v>5.3485298976828709E-2</v>
      </c>
      <c r="L31">
        <f>(L9+L8)/(L8+L9+L15+L16+L21+L22+(L20+L14+L7)*($L$40+$L$41))</f>
        <v>0.23783701798187315</v>
      </c>
      <c r="M31" s="48">
        <f>SQRT(SUMSQ((100*(SQRT(SUMSQ(M8,M9,M15,M16,M21,M22)))/(L8+L9+L15+L16+L21+L22)),(100*(SQRT(SUMSQ(M8,M9)))/(L9+L8))))*0.01*((L8+L9)/(L8+L9+L15+L16+L21+L22))</f>
        <v>6.762688317890278E-2</v>
      </c>
      <c r="O31">
        <f>(O9+O8)/(O8+O9+O15+O16+O21+O22+(O20+O14+O7)*($L$40+$L$41))</f>
        <v>0.49890954375733371</v>
      </c>
      <c r="P31" s="48">
        <f>SQRT(SUMSQ((100*(SQRT(SUMSQ(P8,P9,P15,P16,P21,P22)))/(O8+O9+O15+O16+O21+O22)),(100*(SQRT(SUMSQ(P8,P9)))/(O9+O8))))*0.01*((O8+O9)/(O8+O9+O15+O16+O21+O22))</f>
        <v>4.2691250544965545E-2</v>
      </c>
    </row>
    <row r="32" spans="1:16" x14ac:dyDescent="0.25">
      <c r="A32" s="2" t="s">
        <v>45</v>
      </c>
      <c r="B32">
        <f>B12/(B5+B12+B18+(B7+B14+B20)*$L$38)</f>
        <v>0.99320931971951631</v>
      </c>
      <c r="C32" s="48">
        <f>(SQRT(SUMSQ((100*((SQRT(SUMSQ(C5,C12,C18)))/(B5+B12+B18))),(100*C12/B12))))*(C12/(C5+C12+C18))*0.01</f>
        <v>2.8601017667337697E-3</v>
      </c>
      <c r="D32">
        <f>D12/(D5+D12+D18+(D7+D14+D20)*$L$38)</f>
        <v>0.98939781737201349</v>
      </c>
      <c r="E32" s="48">
        <f>(SQRT(SUMSQ((100*((SQRT(SUMSQ(E5,E12,E18)))/(D5+D12+D18))),(100*E12/D12))))*(E12/(E5+E12+E18))*0.01</f>
        <v>7.6170104622017678E-3</v>
      </c>
      <c r="F32">
        <f>F12/(F5+F12+F18+(F7+F14+F20)*$L$38)</f>
        <v>0.98300280976454502</v>
      </c>
      <c r="G32" s="48">
        <f>(SQRT(SUMSQ((100*((SQRT(SUMSQ(G5,G12,G18)))/(F5+F12+F18))),(100*G12/F12))))*(G12/(G5+G12+G18))*0.01</f>
        <v>2.3987837386964729E-2</v>
      </c>
      <c r="H32">
        <f>H12/(H5+H12+H18+(H7+H14+H20)*$L$38)</f>
        <v>0.95618165727334492</v>
      </c>
      <c r="I32" s="48">
        <f>(SQRT(SUMSQ((100*((SQRT(SUMSQ(I5,I12,I18)))/(H5+H12+H18))),(100*I12/H12))))*(I12/(I5+I12+I18))*0.01</f>
        <v>3.8563773607326067E-2</v>
      </c>
      <c r="J32">
        <f>J12/(J5+J12+J18+(J7+J14+J20)*$L$38)</f>
        <v>0.87755949020789514</v>
      </c>
      <c r="K32" s="48">
        <f>(SQRT(SUMSQ((100*((SQRT(SUMSQ(K5,K12,K18)))/(J5+J12+J18))),(100*K12/J12))))*(K12/(K5+K12+K18))*0.01</f>
        <v>2.7570279226466394E-2</v>
      </c>
      <c r="L32">
        <f>L12/(L5+L12+L18+(L7+L14+L20)*$L$38)</f>
        <v>0.76085888719619788</v>
      </c>
      <c r="M32" s="48">
        <f>(SQRT(SUMSQ((100*((SQRT(SUMSQ(M5,M12,M18)))/(L5+L12+L18))),(100*M12/L12))))*(M12/(M5+M12+M18))*0.01</f>
        <v>6.9217001250976823E-2</v>
      </c>
      <c r="N32" t="str">
        <f>IF(V45=M32,"yes","no")</f>
        <v>yes</v>
      </c>
      <c r="O32">
        <f>O12/(O5+O12+O18+(O7+O14+O20)*$L$38)</f>
        <v>0.93493637618402325</v>
      </c>
      <c r="P32" s="48">
        <f>(SQRT(SUMSQ((100*((SQRT(SUMSQ(P5,P12,P18)))/(O5+O12+O18))),(100*P12/O12))))*(P12/(P5+P12+P18))*0.01</f>
        <v>1.2654515040740465E-2</v>
      </c>
    </row>
    <row r="33" spans="1:25" x14ac:dyDescent="0.25">
      <c r="A33" s="2" t="s">
        <v>46</v>
      </c>
      <c r="B33">
        <f>B19/(B6+B13+B19+(B7+B14+B20)*$L$39)</f>
        <v>0.90772640885388911</v>
      </c>
      <c r="C33" s="48">
        <f>(SQRT(SUMSQ((100*((SQRT(SUMSQ(C6,C13,C19)))/(B6+B13+B19))),(100*C19/B19))))*(C19/(C6+C13+C19))*0.01</f>
        <v>2.0842554676520644E-2</v>
      </c>
      <c r="D33">
        <f>D19/(D6+D13+D19+(D7+D14+D20)*$L$39)</f>
        <v>0.91618544570954263</v>
      </c>
      <c r="E33" s="48">
        <f>(SQRT(SUMSQ((100*((SQRT(SUMSQ(E6,E13,E19)))/(D6+D13+D19))),(100*E19/D19))))*(E19/(E6+E13+E19))*0.01</f>
        <v>2.9961386415558355E-2</v>
      </c>
      <c r="F33">
        <f>F19/(F6+F13+F19+(F7+F14+F20)*$L$39)</f>
        <v>0.91460401487866583</v>
      </c>
      <c r="G33" s="48">
        <f>(SQRT(SUMSQ((100*((SQRT(SUMSQ(G6,G13,G19)))/(F6+F13+F19))),(100*G19/F19))))*(G19/(G6+G13+G19))*0.01</f>
        <v>5.0041986129566965E-2</v>
      </c>
      <c r="H33">
        <f>H19/(H6+H13+H19+(H7+H14+H20)*$L$39)</f>
        <v>0.85521061515517416</v>
      </c>
      <c r="I33" s="48">
        <f>(SQRT(SUMSQ((100*((SQRT(SUMSQ(I6,I13,I19)))/(H6+H13+H19))),(100*I19/H19))))*(I19/(I6+I13+I19))*0.01</f>
        <v>2.5450909098413434E-2</v>
      </c>
      <c r="J33">
        <f>J19/(J6+J13+J19+(J7+J14+J20)*$L$39)</f>
        <v>0.8501217648151842</v>
      </c>
      <c r="K33" s="48">
        <f>(SQRT(SUMSQ((100*((SQRT(SUMSQ(K6,K13,K19)))/(J6+J13+J19))),(100*K19/J19))))*(K19/(K6+K13+K19))*0.01</f>
        <v>6.9659703449531915E-2</v>
      </c>
      <c r="L33">
        <f>L19/(L6+L13+L19+(L7+L14+L20)*$L$39)</f>
        <v>0.69224728220764331</v>
      </c>
      <c r="M33" s="48">
        <f>(SQRT(SUMSQ((100*((SQRT(SUMSQ(M6,M13,M19)))/(L6+L13+L19))),(100*M19/L19))))*(M19/(M6+M13+M19))*0.01</f>
        <v>6.8843834387532318E-2</v>
      </c>
      <c r="O33">
        <f>O19/(O6+O13+O19+(O7+O14+O20)*$L$39)</f>
        <v>0.85047490108781221</v>
      </c>
      <c r="P33" s="48">
        <f>(SQRT(SUMSQ((100*((SQRT(SUMSQ(P6,P13,P19)))/(O6+O13+O19))),(100*P19/O19))))*(P19/(P6+P13+P19))*0.01</f>
        <v>2.1559740756620531E-2</v>
      </c>
    </row>
    <row r="35" spans="1:25" x14ac:dyDescent="0.25">
      <c r="R35" t="s">
        <v>80</v>
      </c>
      <c r="T35" t="s">
        <v>81</v>
      </c>
      <c r="U35" t="s">
        <v>82</v>
      </c>
      <c r="V35" t="s">
        <v>83</v>
      </c>
    </row>
    <row r="36" spans="1:25" x14ac:dyDescent="0.25">
      <c r="A36" s="41"/>
      <c r="B36" t="s">
        <v>62</v>
      </c>
      <c r="R36" t="s">
        <v>22</v>
      </c>
      <c r="S36" t="s">
        <v>84</v>
      </c>
      <c r="T36">
        <f>SQRT(SUMSQ(C5,C12,C18))</f>
        <v>2.3991694517963427E-2</v>
      </c>
      <c r="U36" s="16">
        <f>C12</f>
        <v>1.8629040304904542E-2</v>
      </c>
      <c r="V36" s="27">
        <f>V37*(C12/(C5+C12+C18))*0.01</f>
        <v>2.8601017667337697E-3</v>
      </c>
      <c r="W36" t="s">
        <v>85</v>
      </c>
    </row>
    <row r="37" spans="1:25" x14ac:dyDescent="0.25">
      <c r="A37" s="41"/>
      <c r="B37" t="s">
        <v>86</v>
      </c>
      <c r="C37" t="s">
        <v>63</v>
      </c>
      <c r="D37" t="s">
        <v>87</v>
      </c>
      <c r="E37" t="s">
        <v>63</v>
      </c>
      <c r="G37" t="s">
        <v>88</v>
      </c>
      <c r="I37" t="s">
        <v>89</v>
      </c>
      <c r="L37" t="str">
        <f>I37</f>
        <v>Dry Ratio</v>
      </c>
      <c r="R37" t="s">
        <v>22</v>
      </c>
      <c r="S37" t="s">
        <v>90</v>
      </c>
      <c r="T37">
        <f>100*(T36/(B5+B12+B18))</f>
        <v>0.43642363069089907</v>
      </c>
      <c r="U37">
        <f>100*C12/B12</f>
        <v>0.34038376328236131</v>
      </c>
      <c r="V37">
        <f>SQRT(SUMSQ(T37,U37))</f>
        <v>0.55346787777764384</v>
      </c>
    </row>
    <row r="38" spans="1:25" x14ac:dyDescent="0.25">
      <c r="A38" s="41" t="s">
        <v>45</v>
      </c>
      <c r="B38">
        <f>'R0031_Gen2_Total'!I26</f>
        <v>0.39798667256366116</v>
      </c>
      <c r="C38">
        <f>'R0031_Gen2_Total'!J26</f>
        <v>0.67149075530339819</v>
      </c>
      <c r="D38">
        <f>'R0031_Gen2_Total'!K26</f>
        <v>8.0230653602659672</v>
      </c>
      <c r="E38">
        <f>'R0031_Gen2_Total'!L26</f>
        <v>1.2230048033020289</v>
      </c>
      <c r="G38">
        <f>B38/SUM(B$38:B$41)</f>
        <v>3.7338588483241057E-2</v>
      </c>
      <c r="I38">
        <f>D38/SUM(D$38:D$41)</f>
        <v>0.3208979100294389</v>
      </c>
      <c r="J38">
        <f>SQRT((SQRT(SUMSQ(E$38:E$41))/SUM(D$38:D$41))^2+(E38/D38)^2)*I38</f>
        <v>5.6681891622967724E-2</v>
      </c>
      <c r="L38" s="42">
        <f>I38</f>
        <v>0.3208979100294389</v>
      </c>
      <c r="M38">
        <f>J38</f>
        <v>5.6681891622967724E-2</v>
      </c>
    </row>
    <row r="39" spans="1:25" x14ac:dyDescent="0.25">
      <c r="A39" s="41" t="s">
        <v>46</v>
      </c>
      <c r="B39">
        <f>'R0031_Gen2_Total'!I27</f>
        <v>9.4026599325715665</v>
      </c>
      <c r="C39">
        <f>'R0031_Gen2_Total'!J27</f>
        <v>0.50709557890144319</v>
      </c>
      <c r="D39">
        <f>'R0031_Gen2_Total'!K27</f>
        <v>14.983333464875429</v>
      </c>
      <c r="E39">
        <f>'R0031_Gen2_Total'!L27</f>
        <v>1.1410463796810786</v>
      </c>
      <c r="G39">
        <f>B39/SUM(B$38:B$41)</f>
        <v>0.88214524272540917</v>
      </c>
      <c r="I39">
        <f>D39/SUM(D$38:D$41)</f>
        <v>0.59928720236591537</v>
      </c>
      <c r="J39">
        <f t="shared" ref="J39:J41" si="3">SQRT((SQRT(SUMSQ(E$38:E$41))/SUM(D$38:D$41))^2+(E39/D39)^2)*I39</f>
        <v>7.0305214704146371E-2</v>
      </c>
      <c r="L39" s="42">
        <f>I39</f>
        <v>0.59928720236591537</v>
      </c>
      <c r="M39">
        <f t="shared" ref="M39:M41" si="4">J39</f>
        <v>7.0305214704146371E-2</v>
      </c>
      <c r="R39" s="49"/>
      <c r="S39" s="49"/>
      <c r="T39" s="49" t="s">
        <v>91</v>
      </c>
      <c r="U39" s="49" t="s">
        <v>92</v>
      </c>
      <c r="V39" s="49" t="s">
        <v>93</v>
      </c>
      <c r="W39" s="49" t="s">
        <v>94</v>
      </c>
      <c r="X39" s="49" t="s">
        <v>79</v>
      </c>
      <c r="Y39" s="49"/>
    </row>
    <row r="40" spans="1:25" x14ac:dyDescent="0.25">
      <c r="A40" s="41" t="s">
        <v>47</v>
      </c>
      <c r="B40">
        <f>'R0031_Gen2_Total'!I28</f>
        <v>0.74070912264337441</v>
      </c>
      <c r="C40">
        <f>'R0031_Gen2_Total'!J28</f>
        <v>0.22724213139413824</v>
      </c>
      <c r="D40">
        <f>'R0031_Gen2_Total'!K28</f>
        <v>1.3291662822377912</v>
      </c>
      <c r="E40">
        <f>'R0031_Gen2_Total'!L28</f>
        <v>1.0471293619808668</v>
      </c>
      <c r="G40">
        <f>B40/SUM(B$38:B$41)</f>
        <v>6.9492359977806853E-2</v>
      </c>
      <c r="I40">
        <f>D40/SUM(D$38:D$41)</f>
        <v>5.3162558560730336E-2</v>
      </c>
      <c r="J40">
        <f t="shared" si="3"/>
        <v>4.2149780146116818E-2</v>
      </c>
      <c r="L40" s="42">
        <f>I40</f>
        <v>5.3162558560730336E-2</v>
      </c>
      <c r="M40">
        <f t="shared" si="4"/>
        <v>4.2149780146116818E-2</v>
      </c>
      <c r="R40" s="49" t="s">
        <v>22</v>
      </c>
      <c r="S40" s="49" t="s">
        <v>84</v>
      </c>
      <c r="T40" s="49">
        <f>SQRT(SUMSQ(C20,C14,C7))</f>
        <v>6.8677463151561764E-3</v>
      </c>
      <c r="U40" s="49">
        <f>M38</f>
        <v>5.6681891622967724E-2</v>
      </c>
      <c r="V40" s="49" t="e">
        <f>V41*0.01*(#REF!*(B20+B14+B7))</f>
        <v>#REF!</v>
      </c>
      <c r="W40" s="49" t="e">
        <f>SQRT(SUMSQ(V40,C18,C12,C5))</f>
        <v>#REF!</v>
      </c>
      <c r="X40" s="50" t="e">
        <f>X41*0.01*(B12/((B5+B12+B18+(#REF!*(B20+B14+B7)))))</f>
        <v>#REF!</v>
      </c>
      <c r="Y40" s="49" t="s">
        <v>95</v>
      </c>
    </row>
    <row r="41" spans="1:25" x14ac:dyDescent="0.25">
      <c r="A41" s="41" t="s">
        <v>48</v>
      </c>
      <c r="B41">
        <f>'R0031_Gen2_Total'!I29</f>
        <v>0.11750120095324723</v>
      </c>
      <c r="C41">
        <f>'R0031_Gen2_Total'!J29</f>
        <v>0.19685856108560432</v>
      </c>
      <c r="D41">
        <f>'R0031_Gen2_Total'!K29</f>
        <v>0.66635952195210857</v>
      </c>
      <c r="E41">
        <f>'R0031_Gen2_Total'!L29</f>
        <v>1.0409583120925645</v>
      </c>
      <c r="G41">
        <f>B41/SUM(B$38:B$41)</f>
        <v>1.1023808813542925E-2</v>
      </c>
      <c r="I41">
        <f>D41/SUM(D$38:D$41)</f>
        <v>2.6652329043915329E-2</v>
      </c>
      <c r="J41">
        <f t="shared" si="3"/>
        <v>4.1703003359670886E-2</v>
      </c>
      <c r="L41" s="42">
        <f>I41</f>
        <v>2.6652329043915329E-2</v>
      </c>
      <c r="M41">
        <f t="shared" si="4"/>
        <v>4.1703003359670886E-2</v>
      </c>
      <c r="R41" s="49" t="s">
        <v>22</v>
      </c>
      <c r="S41" s="49" t="s">
        <v>90</v>
      </c>
      <c r="T41" s="49">
        <f>100*(T40/(B7+B14+B20))</f>
        <v>16.913083985657849</v>
      </c>
      <c r="U41" s="49" t="e">
        <f>100*M38/#REF!</f>
        <v>#REF!</v>
      </c>
      <c r="V41" s="49" t="e">
        <f>SQRT(SUMSQ(T41,U41))</f>
        <v>#REF!</v>
      </c>
      <c r="W41" s="49" t="e">
        <f>100*W40/(B5+B12+B18+(#REF!*(B20+B14+B7)))</f>
        <v>#REF!</v>
      </c>
      <c r="X41" s="49" t="e">
        <f>SQRT(SUMSQ(U37,W41))</f>
        <v>#REF!</v>
      </c>
      <c r="Y41" s="49"/>
    </row>
    <row r="42" spans="1:25" x14ac:dyDescent="0.25">
      <c r="A42" s="41"/>
    </row>
    <row r="44" spans="1:25" x14ac:dyDescent="0.25">
      <c r="A44" s="53" t="s">
        <v>75</v>
      </c>
      <c r="B44" s="54">
        <f>B25</f>
        <v>1</v>
      </c>
      <c r="C44" s="55">
        <f>D25</f>
        <v>2</v>
      </c>
      <c r="D44" s="55">
        <f>F25</f>
        <v>2.8</v>
      </c>
      <c r="E44" s="55">
        <f>H25</f>
        <v>4</v>
      </c>
      <c r="F44" s="55">
        <f>J25</f>
        <v>5.6</v>
      </c>
      <c r="G44" s="55">
        <f>L25</f>
        <v>8</v>
      </c>
      <c r="R44" t="s">
        <v>80</v>
      </c>
      <c r="T44" t="s">
        <v>96</v>
      </c>
      <c r="U44" t="s">
        <v>97</v>
      </c>
      <c r="V44" t="s">
        <v>98</v>
      </c>
    </row>
    <row r="45" spans="1:25" x14ac:dyDescent="0.25">
      <c r="A45" s="2" t="str">
        <f>A26</f>
        <v>Insulators</v>
      </c>
      <c r="B45" s="51">
        <f>B26*100</f>
        <v>75.792689157877874</v>
      </c>
      <c r="C45" s="52">
        <f>D26*100</f>
        <v>86.563674252598304</v>
      </c>
      <c r="D45" s="52">
        <f>F26*100</f>
        <v>86.686410070855715</v>
      </c>
      <c r="E45" s="52">
        <f>H26*100</f>
        <v>81.69048052386546</v>
      </c>
      <c r="F45" s="52">
        <f>J26*100</f>
        <v>80.039436005163139</v>
      </c>
      <c r="G45" s="52">
        <f>L26*100</f>
        <v>69.538490244230886</v>
      </c>
      <c r="I45" s="52"/>
      <c r="J45" s="52">
        <f>O26*100</f>
        <v>80.748165596041659</v>
      </c>
      <c r="R45" t="s">
        <v>5</v>
      </c>
      <c r="S45" t="s">
        <v>84</v>
      </c>
      <c r="T45">
        <f>SQRT(SUMSQ(M5,M12,M18))</f>
        <v>0.22492730268469963</v>
      </c>
      <c r="U45" s="16">
        <f>M12</f>
        <v>0.21505030471697575</v>
      </c>
      <c r="V45" s="27">
        <f>V46*(M12/(M5+M12+M18))*0.01</f>
        <v>6.9217001250976823E-2</v>
      </c>
      <c r="W45" t="s">
        <v>85</v>
      </c>
    </row>
    <row r="46" spans="1:25" x14ac:dyDescent="0.25">
      <c r="A46" s="2" t="str">
        <f>A27</f>
        <v>Cathode</v>
      </c>
      <c r="B46" s="51">
        <f>B27*100</f>
        <v>97.434145620860917</v>
      </c>
      <c r="C46" s="52">
        <f>D27*100</f>
        <v>96.828474087768441</v>
      </c>
      <c r="D46" s="52">
        <f>F27*100</f>
        <v>96.749459364101597</v>
      </c>
      <c r="E46" s="52">
        <f>H27*100</f>
        <v>93.900412797393969</v>
      </c>
      <c r="F46" s="52">
        <f>J27*100</f>
        <v>94.617833332396643</v>
      </c>
      <c r="G46" s="52">
        <f>L27*100</f>
        <v>87.201180355080282</v>
      </c>
      <c r="J46" s="52">
        <f>O27*100</f>
        <v>94.858564344848148</v>
      </c>
      <c r="L46">
        <f>0.87*J46</f>
        <v>82.526950980017887</v>
      </c>
      <c r="R46" t="s">
        <v>5</v>
      </c>
      <c r="S46" t="s">
        <v>90</v>
      </c>
      <c r="T46">
        <f>100*(T45/(L5+L12+L18))</f>
        <v>6.7595758627823788</v>
      </c>
      <c r="U46">
        <f>100*M12/L12</f>
        <v>7.2574388945428963</v>
      </c>
      <c r="V46">
        <f>SQRT(SUMSQ(T46,U46))</f>
        <v>9.9177762201379682</v>
      </c>
    </row>
    <row r="47" spans="1:25" x14ac:dyDescent="0.25">
      <c r="A47" s="2" t="str">
        <f>A28</f>
        <v>Anode</v>
      </c>
      <c r="B47" s="51">
        <f>B28*100</f>
        <v>97.608425843249648</v>
      </c>
      <c r="C47" s="52">
        <f>D28*100</f>
        <v>96.694530146550278</v>
      </c>
      <c r="D47" s="52">
        <f>F28*100</f>
        <v>93.447954481260524</v>
      </c>
      <c r="E47" s="52">
        <f>H28*100</f>
        <v>88.48458912675315</v>
      </c>
      <c r="F47" s="52">
        <f>J28*100</f>
        <v>78.697358746528721</v>
      </c>
      <c r="G47" s="52">
        <f>L28*100</f>
        <v>65.768476682465007</v>
      </c>
      <c r="J47" s="52">
        <f>O28*100</f>
        <v>83.547627145248498</v>
      </c>
    </row>
    <row r="48" spans="1:25" x14ac:dyDescent="0.25">
      <c r="B48" s="52"/>
      <c r="C48" s="52"/>
      <c r="D48" s="52"/>
      <c r="E48" s="52"/>
      <c r="F48" s="52"/>
      <c r="G48" s="52"/>
      <c r="R48" s="49"/>
      <c r="S48" s="49"/>
      <c r="T48" s="49" t="s">
        <v>99</v>
      </c>
      <c r="U48" s="49" t="s">
        <v>92</v>
      </c>
      <c r="V48" s="49" t="s">
        <v>100</v>
      </c>
      <c r="W48" s="49" t="s">
        <v>101</v>
      </c>
      <c r="X48" s="49" t="s">
        <v>102</v>
      </c>
      <c r="Y48" s="49"/>
    </row>
    <row r="49" spans="1:25" x14ac:dyDescent="0.25">
      <c r="A49" s="53" t="s">
        <v>78</v>
      </c>
      <c r="B49" s="54">
        <f>B30</f>
        <v>1</v>
      </c>
      <c r="C49" s="55">
        <f>D30</f>
        <v>2</v>
      </c>
      <c r="D49" s="55">
        <f>F30</f>
        <v>2.8</v>
      </c>
      <c r="E49" s="55">
        <f>H30</f>
        <v>4</v>
      </c>
      <c r="F49" s="55">
        <f>J30</f>
        <v>5.6</v>
      </c>
      <c r="G49" s="55">
        <f>L30</f>
        <v>8</v>
      </c>
      <c r="R49" s="49" t="s">
        <v>5</v>
      </c>
      <c r="S49" s="49" t="s">
        <v>84</v>
      </c>
      <c r="T49" s="49">
        <f>SQRT(SUMSQ(M20,M14,M7))</f>
        <v>0.34728593130465207</v>
      </c>
      <c r="U49" s="49">
        <f>M38</f>
        <v>5.6681891622967724E-2</v>
      </c>
      <c r="V49" s="49" t="e">
        <f>V50*0.01*(#REF!*(L20+L14+L7))</f>
        <v>#REF!</v>
      </c>
      <c r="W49" s="49" t="e">
        <f>SQRT(SUMSQ(V49,M18,M12,M5))</f>
        <v>#REF!</v>
      </c>
      <c r="X49" s="50" t="e">
        <f>X50*0.01*(L12/((L5+L12+L18+(#REF!*(L20+L14+L7)))))</f>
        <v>#REF!</v>
      </c>
      <c r="Y49" s="49" t="s">
        <v>95</v>
      </c>
    </row>
    <row r="50" spans="1:25" x14ac:dyDescent="0.25">
      <c r="A50" s="2" t="str">
        <f>A31</f>
        <v>Insulators</v>
      </c>
      <c r="B50" s="51">
        <f>B31*100</f>
        <v>79.740415186027846</v>
      </c>
      <c r="C50" s="52">
        <f>D31*100</f>
        <v>81.805904285259288</v>
      </c>
      <c r="D50" s="52">
        <f>F31*100</f>
        <v>69.78000192631923</v>
      </c>
      <c r="E50" s="52">
        <f>H31*100</f>
        <v>56.961028811793732</v>
      </c>
      <c r="F50" s="52">
        <f>J31*100</f>
        <v>40.160759867712365</v>
      </c>
      <c r="G50" s="52">
        <f>L31*100</f>
        <v>23.783701798187316</v>
      </c>
      <c r="J50" s="52">
        <f>O31*100</f>
        <v>49.890954375733372</v>
      </c>
      <c r="R50" s="49" t="s">
        <v>5</v>
      </c>
      <c r="S50" s="49" t="s">
        <v>90</v>
      </c>
      <c r="T50" s="49">
        <f>100*(T49/(L7+L14+L20))</f>
        <v>19.655883418679107</v>
      </c>
      <c r="U50" s="49" t="e">
        <f>100*M38/#REF!</f>
        <v>#REF!</v>
      </c>
      <c r="V50" s="49" t="e">
        <f>SQRT(SUMSQ(T50,U50))</f>
        <v>#REF!</v>
      </c>
      <c r="W50" s="49" t="e">
        <f>100*W49/(L5+L12+L18+(#REF!*(L20+L14+L7)))</f>
        <v>#REF!</v>
      </c>
      <c r="X50" s="49" t="e">
        <f>SQRT(SUMSQ(U46,W50))</f>
        <v>#REF!</v>
      </c>
      <c r="Y50" s="49"/>
    </row>
    <row r="51" spans="1:25" x14ac:dyDescent="0.25">
      <c r="A51" s="2" t="str">
        <f>A32</f>
        <v>Cathode</v>
      </c>
      <c r="B51" s="51">
        <f t="shared" ref="B51:B52" si="5">B32*100</f>
        <v>99.320931971951637</v>
      </c>
      <c r="C51" s="52">
        <f>D32*100</f>
        <v>98.939781737201344</v>
      </c>
      <c r="D51" s="52">
        <f>F32*100</f>
        <v>98.300280976454502</v>
      </c>
      <c r="E51" s="52">
        <f>H32*100</f>
        <v>95.618165727334485</v>
      </c>
      <c r="F51" s="52">
        <f>J32*100</f>
        <v>87.755949020789515</v>
      </c>
      <c r="G51" s="52">
        <f>L32*100</f>
        <v>76.085888719619788</v>
      </c>
      <c r="J51" s="52">
        <f>O32*100</f>
        <v>93.493637618402332</v>
      </c>
      <c r="L51">
        <f>0.87*J51</f>
        <v>81.339464728010029</v>
      </c>
    </row>
    <row r="52" spans="1:25" x14ac:dyDescent="0.25">
      <c r="A52" s="2" t="str">
        <f>A33</f>
        <v>Anode</v>
      </c>
      <c r="B52" s="51">
        <f t="shared" si="5"/>
        <v>90.77264088538891</v>
      </c>
      <c r="C52" s="52">
        <f>D33*100</f>
        <v>91.618544570954271</v>
      </c>
      <c r="D52" s="52">
        <f>F33*100</f>
        <v>91.460401487866577</v>
      </c>
      <c r="E52" s="52">
        <f>H33*100</f>
        <v>85.521061515517417</v>
      </c>
      <c r="F52" s="52">
        <f>J33*100</f>
        <v>85.012176481518424</v>
      </c>
      <c r="G52" s="52">
        <f>L33*100</f>
        <v>69.224728220764334</v>
      </c>
      <c r="J52" s="52">
        <f>O33*100</f>
        <v>85.047490108781219</v>
      </c>
    </row>
    <row r="54" spans="1:25" x14ac:dyDescent="0.25">
      <c r="A54" s="53" t="s">
        <v>117</v>
      </c>
      <c r="B54" s="56">
        <f>C25</f>
        <v>1</v>
      </c>
      <c r="C54" s="56">
        <f>E25</f>
        <v>2</v>
      </c>
      <c r="D54" s="56">
        <f>G25</f>
        <v>2.8</v>
      </c>
      <c r="E54" s="56">
        <f>I25</f>
        <v>4</v>
      </c>
      <c r="F54" s="56">
        <f>K25</f>
        <v>5.6</v>
      </c>
      <c r="G54" s="56">
        <f>M25</f>
        <v>8</v>
      </c>
      <c r="R54" t="s">
        <v>103</v>
      </c>
      <c r="S54" t="s">
        <v>104</v>
      </c>
      <c r="T54">
        <f>(L9+L8)/(L8+L9+L15+L16+L21+L22)</f>
        <v>0.26382632933744132</v>
      </c>
    </row>
    <row r="55" spans="1:25" x14ac:dyDescent="0.25">
      <c r="A55" s="2" t="str">
        <f>A26&amp;"-err"</f>
        <v>Insulators-err</v>
      </c>
      <c r="B55" s="40">
        <f>C26*100</f>
        <v>6.1295150313451101</v>
      </c>
      <c r="C55" s="40">
        <f>E26*100</f>
        <v>8.7826978784351564</v>
      </c>
      <c r="D55" s="40">
        <f>G26*100</f>
        <v>14.757454847911514</v>
      </c>
      <c r="E55" s="40">
        <f>I26*100</f>
        <v>23.525057209569706</v>
      </c>
      <c r="F55" s="40">
        <f>K26*100</f>
        <v>20.254209258417987</v>
      </c>
      <c r="G55" s="40">
        <f>M26*100</f>
        <v>19.148956945725093</v>
      </c>
      <c r="T55" t="s">
        <v>105</v>
      </c>
      <c r="U55" t="s">
        <v>106</v>
      </c>
    </row>
    <row r="56" spans="1:25" x14ac:dyDescent="0.25">
      <c r="A56" s="2" t="str">
        <f>A27&amp;"-err"</f>
        <v>Cathode-err</v>
      </c>
      <c r="B56" s="40">
        <f t="shared" ref="B56:B57" si="6">C27*100</f>
        <v>0.89994018056815084</v>
      </c>
      <c r="C56" s="40">
        <f>E27*100</f>
        <v>1.2453536796569842</v>
      </c>
      <c r="D56" s="40">
        <f>G27*100</f>
        <v>2.4709614719450577</v>
      </c>
      <c r="E56" s="40">
        <f>I27*100</f>
        <v>3.8906322316430741</v>
      </c>
      <c r="F56" s="40">
        <f>K27*100</f>
        <v>4.8591198803415381</v>
      </c>
      <c r="G56" s="40">
        <f>M27*100</f>
        <v>9.4636947648648864</v>
      </c>
      <c r="T56" t="s">
        <v>107</v>
      </c>
      <c r="U56" t="s">
        <v>108</v>
      </c>
    </row>
    <row r="57" spans="1:25" x14ac:dyDescent="0.25">
      <c r="A57" s="2" t="str">
        <f>A28&amp;"-err"</f>
        <v>Anode-err</v>
      </c>
      <c r="B57" s="40">
        <f t="shared" si="6"/>
        <v>3.8490415600287897</v>
      </c>
      <c r="C57" s="40">
        <f>E28*100</f>
        <v>4.048974565160151</v>
      </c>
      <c r="D57" s="40">
        <f>G28*100</f>
        <v>5.6049905627672976</v>
      </c>
      <c r="E57" s="40">
        <f>I28*100</f>
        <v>4.2976047977935954</v>
      </c>
      <c r="F57" s="40">
        <f>K28*100</f>
        <v>5.2909056031938198</v>
      </c>
      <c r="G57" s="40">
        <f>M28*100</f>
        <v>5.1802785987485205</v>
      </c>
      <c r="R57" t="s">
        <v>103</v>
      </c>
      <c r="S57" t="s">
        <v>84</v>
      </c>
      <c r="T57">
        <f>SQRT(SUMSQ(M8,M9))</f>
        <v>7.0214340430837269E-2</v>
      </c>
      <c r="U57">
        <f>SQRT(SUMSQ(M8,M9,M15,M16,M21,M22))</f>
        <v>0.19646478794146915</v>
      </c>
      <c r="V57">
        <f>V58*0.01*((L8+L9)/(L8+L9+L15+L16+L21+L22))</f>
        <v>6.762688317890278E-2</v>
      </c>
    </row>
    <row r="58" spans="1:25" x14ac:dyDescent="0.25">
      <c r="R58" t="s">
        <v>103</v>
      </c>
      <c r="S58" t="s">
        <v>90</v>
      </c>
      <c r="T58">
        <f>100*T57/(L9+L8)</f>
        <v>20.622650303603727</v>
      </c>
      <c r="U58">
        <f>100*U57/(L8+L9+L15+L16+L21+L22)</f>
        <v>15.223745526097115</v>
      </c>
      <c r="V58">
        <f>SQRT(SUMSQ(U58,T58))</f>
        <v>25.633106198587967</v>
      </c>
    </row>
    <row r="59" spans="1:25" x14ac:dyDescent="0.25">
      <c r="A59" s="53" t="s">
        <v>118</v>
      </c>
      <c r="B59" s="56">
        <f>C30</f>
        <v>1</v>
      </c>
      <c r="C59" s="56">
        <f>E30</f>
        <v>2</v>
      </c>
      <c r="D59" s="56">
        <f>G30</f>
        <v>2.8</v>
      </c>
      <c r="E59" s="56">
        <f>I30</f>
        <v>4</v>
      </c>
      <c r="F59" s="56">
        <f>K30</f>
        <v>5.6</v>
      </c>
      <c r="G59" s="56">
        <f>M30</f>
        <v>8</v>
      </c>
    </row>
    <row r="60" spans="1:25" x14ac:dyDescent="0.25">
      <c r="A60" s="2" t="str">
        <f>A31&amp;"-err"</f>
        <v>Insulators-err</v>
      </c>
      <c r="B60" s="40">
        <f>C31*100</f>
        <v>8.6540015763961282</v>
      </c>
      <c r="C60" s="40">
        <f>E31*100</f>
        <v>7.3138748661785877</v>
      </c>
      <c r="D60" s="40">
        <f>G31*100</f>
        <v>11.323710812814527</v>
      </c>
      <c r="E60" s="40">
        <f>I31*100</f>
        <v>13.658985511163587</v>
      </c>
      <c r="F60" s="40">
        <f>K31*100</f>
        <v>5.3485298976828712</v>
      </c>
      <c r="G60" s="40">
        <f>M31*100</f>
        <v>6.7626883178902784</v>
      </c>
    </row>
    <row r="61" spans="1:25" x14ac:dyDescent="0.25">
      <c r="A61" s="2" t="str">
        <f>A32&amp;"-err"</f>
        <v>Cathode-err</v>
      </c>
      <c r="B61" s="40">
        <f t="shared" ref="B61:B62" si="7">C32*100</f>
        <v>0.28601017667337697</v>
      </c>
      <c r="C61" s="40">
        <f>E32*100</f>
        <v>0.76170104622017676</v>
      </c>
      <c r="D61" s="40">
        <f>G32*100</f>
        <v>2.3987837386964728</v>
      </c>
      <c r="E61" s="40">
        <f>I32*100</f>
        <v>3.8563773607326066</v>
      </c>
      <c r="F61" s="40">
        <f>K32*100</f>
        <v>2.7570279226466394</v>
      </c>
      <c r="G61" s="40">
        <f>M32*100</f>
        <v>6.921700125097682</v>
      </c>
    </row>
    <row r="62" spans="1:25" x14ac:dyDescent="0.25">
      <c r="A62" s="2" t="str">
        <f>A33&amp;"-err"</f>
        <v>Anode-err</v>
      </c>
      <c r="B62" s="40">
        <f t="shared" si="7"/>
        <v>2.0842554676520644</v>
      </c>
      <c r="C62" s="40">
        <f>E33*100</f>
        <v>2.9961386415558353</v>
      </c>
      <c r="D62" s="40">
        <f>G33*100</f>
        <v>5.0041986129566967</v>
      </c>
      <c r="E62" s="40">
        <f>I33*100</f>
        <v>2.5450909098413432</v>
      </c>
      <c r="F62" s="40">
        <f>K33*100</f>
        <v>6.9659703449531918</v>
      </c>
      <c r="G62" s="40">
        <f>M33*100</f>
        <v>6.8843834387532317</v>
      </c>
    </row>
    <row r="64" spans="1:25" x14ac:dyDescent="0.25">
      <c r="A64" s="2" t="str">
        <f t="array" ref="A64:D70">TRANSPOSE(A44:G47)</f>
        <v>Grade</v>
      </c>
      <c r="B64" t="str">
        <v>Insulators</v>
      </c>
      <c r="C64" t="str">
        <v>Cathode</v>
      </c>
      <c r="D64" t="str">
        <v>Anode</v>
      </c>
      <c r="E64" t="str">
        <f t="array" ref="E64:G70">TRANSPOSE(A55:G57)</f>
        <v>Insulators-err</v>
      </c>
      <c r="F64" t="str">
        <v>Cathode-err</v>
      </c>
      <c r="G64" t="str">
        <v>Anode-err</v>
      </c>
    </row>
    <row r="65" spans="1:7" x14ac:dyDescent="0.25">
      <c r="A65" s="2">
        <v>1</v>
      </c>
      <c r="B65" s="40">
        <v>75.792689157877874</v>
      </c>
      <c r="C65" s="40">
        <v>97.434145620860917</v>
      </c>
      <c r="D65" s="40">
        <v>97.608425843249648</v>
      </c>
      <c r="E65" s="40">
        <v>6.1295150313451101</v>
      </c>
      <c r="F65" s="40">
        <v>0.89994018056815084</v>
      </c>
      <c r="G65" s="40">
        <v>3.8490415600287897</v>
      </c>
    </row>
    <row r="66" spans="1:7" x14ac:dyDescent="0.25">
      <c r="A66" s="2">
        <v>2</v>
      </c>
      <c r="B66" s="40">
        <v>86.563674252598304</v>
      </c>
      <c r="C66" s="40">
        <v>96.828474087768441</v>
      </c>
      <c r="D66" s="40">
        <v>96.694530146550278</v>
      </c>
      <c r="E66" s="40">
        <v>8.7826978784351564</v>
      </c>
      <c r="F66" s="40">
        <v>1.2453536796569842</v>
      </c>
      <c r="G66" s="40">
        <v>4.048974565160151</v>
      </c>
    </row>
    <row r="67" spans="1:7" x14ac:dyDescent="0.25">
      <c r="A67" s="2">
        <v>2.8</v>
      </c>
      <c r="B67" s="40">
        <v>86.686410070855715</v>
      </c>
      <c r="C67" s="40">
        <v>96.749459364101597</v>
      </c>
      <c r="D67" s="40">
        <v>93.447954481260524</v>
      </c>
      <c r="E67" s="40">
        <v>14.757454847911514</v>
      </c>
      <c r="F67" s="40">
        <v>2.4709614719450577</v>
      </c>
      <c r="G67" s="40">
        <v>5.6049905627672976</v>
      </c>
    </row>
    <row r="68" spans="1:7" x14ac:dyDescent="0.25">
      <c r="A68" s="2">
        <v>4</v>
      </c>
      <c r="B68" s="40">
        <v>81.69048052386546</v>
      </c>
      <c r="C68" s="40">
        <v>93.900412797393969</v>
      </c>
      <c r="D68" s="40">
        <v>88.48458912675315</v>
      </c>
      <c r="E68" s="40">
        <v>23.525057209569706</v>
      </c>
      <c r="F68" s="40">
        <v>3.8906322316430741</v>
      </c>
      <c r="G68" s="40">
        <v>4.2976047977935954</v>
      </c>
    </row>
    <row r="69" spans="1:7" x14ac:dyDescent="0.25">
      <c r="A69" s="2">
        <v>5.6</v>
      </c>
      <c r="B69" s="40">
        <v>80.039436005163139</v>
      </c>
      <c r="C69" s="40">
        <v>94.617833332396643</v>
      </c>
      <c r="D69" s="40">
        <v>78.697358746528721</v>
      </c>
      <c r="E69" s="40">
        <v>20.254209258417987</v>
      </c>
      <c r="F69" s="40">
        <v>4.8591198803415381</v>
      </c>
      <c r="G69" s="40">
        <v>5.2909056031938198</v>
      </c>
    </row>
    <row r="70" spans="1:7" x14ac:dyDescent="0.25">
      <c r="A70" s="2">
        <v>8</v>
      </c>
      <c r="B70" s="40">
        <v>69.538490244230886</v>
      </c>
      <c r="C70" s="40">
        <v>87.201180355080282</v>
      </c>
      <c r="D70" s="40">
        <v>65.768476682465007</v>
      </c>
      <c r="E70" s="40">
        <v>19.148956945725093</v>
      </c>
      <c r="F70" s="40">
        <v>9.4636947648648864</v>
      </c>
      <c r="G70" s="40">
        <v>5.1802785987485205</v>
      </c>
    </row>
    <row r="72" spans="1:7" x14ac:dyDescent="0.25">
      <c r="A72" s="2" t="str">
        <f t="array" ref="A72:D78">TRANSPOSE(A49:G52)</f>
        <v>Recovery</v>
      </c>
      <c r="B72" t="str">
        <v>Insulators</v>
      </c>
      <c r="C72" t="str">
        <v>Cathode</v>
      </c>
      <c r="D72" t="str">
        <v>Anode</v>
      </c>
      <c r="E72" t="str">
        <f t="array" ref="E72:G78">TRANSPOSE(A60:G62)</f>
        <v>Insulators-err</v>
      </c>
      <c r="F72" t="str">
        <v>Cathode-err</v>
      </c>
      <c r="G72" t="str">
        <v>Anode-err</v>
      </c>
    </row>
    <row r="73" spans="1:7" x14ac:dyDescent="0.25">
      <c r="A73" s="2">
        <v>1</v>
      </c>
      <c r="B73" s="40">
        <v>79.740415186027846</v>
      </c>
      <c r="C73" s="40">
        <v>99.320931971951637</v>
      </c>
      <c r="D73" s="40">
        <v>90.77264088538891</v>
      </c>
      <c r="E73" s="40">
        <v>8.6540015763961282</v>
      </c>
      <c r="F73" s="40">
        <v>0.28601017667337697</v>
      </c>
      <c r="G73" s="40">
        <v>2.0842554676520644</v>
      </c>
    </row>
    <row r="74" spans="1:7" x14ac:dyDescent="0.25">
      <c r="A74" s="2">
        <v>2</v>
      </c>
      <c r="B74" s="40">
        <v>81.805904285259288</v>
      </c>
      <c r="C74" s="40">
        <v>98.939781737201344</v>
      </c>
      <c r="D74" s="40">
        <v>91.618544570954271</v>
      </c>
      <c r="E74" s="40">
        <v>7.3138748661785877</v>
      </c>
      <c r="F74" s="40">
        <v>0.76170104622017676</v>
      </c>
      <c r="G74" s="40">
        <v>2.9961386415558353</v>
      </c>
    </row>
    <row r="75" spans="1:7" x14ac:dyDescent="0.25">
      <c r="A75" s="2">
        <v>2.8</v>
      </c>
      <c r="B75" s="40">
        <v>69.78000192631923</v>
      </c>
      <c r="C75" s="40">
        <v>98.300280976454502</v>
      </c>
      <c r="D75" s="40">
        <v>91.460401487866577</v>
      </c>
      <c r="E75" s="40">
        <v>11.323710812814527</v>
      </c>
      <c r="F75" s="40">
        <v>2.3987837386964728</v>
      </c>
      <c r="G75" s="40">
        <v>5.0041986129566967</v>
      </c>
    </row>
    <row r="76" spans="1:7" x14ac:dyDescent="0.25">
      <c r="A76" s="2">
        <v>4</v>
      </c>
      <c r="B76" s="40">
        <v>56.961028811793732</v>
      </c>
      <c r="C76" s="40">
        <v>95.618165727334485</v>
      </c>
      <c r="D76" s="40">
        <v>85.521061515517417</v>
      </c>
      <c r="E76" s="40">
        <v>13.658985511163587</v>
      </c>
      <c r="F76" s="40">
        <v>3.8563773607326066</v>
      </c>
      <c r="G76" s="40">
        <v>2.5450909098413432</v>
      </c>
    </row>
    <row r="77" spans="1:7" x14ac:dyDescent="0.25">
      <c r="A77" s="2">
        <v>5.6</v>
      </c>
      <c r="B77" s="40">
        <v>40.160759867712365</v>
      </c>
      <c r="C77" s="40">
        <v>87.755949020789515</v>
      </c>
      <c r="D77" s="40">
        <v>85.012176481518424</v>
      </c>
      <c r="E77" s="40">
        <v>5.3485298976828712</v>
      </c>
      <c r="F77" s="40">
        <v>2.7570279226466394</v>
      </c>
      <c r="G77" s="40">
        <v>6.9659703449531918</v>
      </c>
    </row>
    <row r="78" spans="1:7" x14ac:dyDescent="0.25">
      <c r="A78" s="2">
        <v>8</v>
      </c>
      <c r="B78" s="40">
        <v>23.783701798187316</v>
      </c>
      <c r="C78" s="40">
        <v>76.085888719619788</v>
      </c>
      <c r="D78" s="40">
        <v>69.224728220764334</v>
      </c>
      <c r="E78" s="40">
        <v>6.7626883178902784</v>
      </c>
      <c r="F78" s="40">
        <v>6.921700125097682</v>
      </c>
      <c r="G78" s="40">
        <v>6.8843834387532317</v>
      </c>
    </row>
  </sheetData>
  <mergeCells count="7">
    <mergeCell ref="O1:P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1644-AAF4-4D0B-9CA4-5DD23A011EAD}">
  <sheetPr codeName="Sheet17">
    <tabColor rgb="FFFF0000"/>
  </sheetPr>
  <dimension ref="A1:W93"/>
  <sheetViews>
    <sheetView topLeftCell="A61" workbookViewId="0">
      <selection activeCell="L25" sqref="L25"/>
    </sheetView>
  </sheetViews>
  <sheetFormatPr defaultRowHeight="15" x14ac:dyDescent="0.25"/>
  <cols>
    <col min="1" max="1" width="8.85546875" style="2" customWidth="1"/>
    <col min="2" max="13" width="8.85546875" customWidth="1"/>
  </cols>
  <sheetData>
    <row r="1" spans="1:16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  <c r="O1" s="98" t="s">
        <v>74</v>
      </c>
      <c r="P1" s="98"/>
    </row>
    <row r="2" spans="1:16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s="16" t="s">
        <v>52</v>
      </c>
      <c r="P2" t="s">
        <v>27</v>
      </c>
    </row>
    <row r="3" spans="1:16" s="9" customFormat="1" x14ac:dyDescent="0.25">
      <c r="A3" s="13" t="s">
        <v>19</v>
      </c>
      <c r="B3" s="21">
        <f>('R0031_Gen2_Averages'!B3)*('R0031_Gen2_Liberation'!$H$8/100)</f>
        <v>6.6835757407512757</v>
      </c>
      <c r="C3" s="21">
        <f>('R0031_Gen2_Averages'!C3)*('R0031_Gen2_Liberation'!$H$8/100)</f>
        <v>0</v>
      </c>
      <c r="D3" s="21">
        <f>'R0031_Gen2_Averages'!D3*('R0031_Gen2_Liberation'!$H$7/100)</f>
        <v>6.7681779653177481</v>
      </c>
      <c r="E3" s="21">
        <f>'R0031_Gen2_Averages'!E3*('R0031_Gen2_Liberation'!$H$7/100)</f>
        <v>0</v>
      </c>
      <c r="F3" s="21">
        <f>'R0031_Gen2_Averages'!F3*('R0031_Gen2_Liberation'!$H$6/100)</f>
        <v>12.318083896878301</v>
      </c>
      <c r="G3" s="21">
        <f>'R0031_Gen2_Averages'!G3*('R0031_Gen2_Liberation'!$H$6/100)</f>
        <v>0</v>
      </c>
      <c r="H3" s="21">
        <f>'R0031_Gen2_Averages'!H3*('R0031_Gen2_Liberation'!$H$5/100)</f>
        <v>17.60290285813058</v>
      </c>
      <c r="I3" s="21">
        <f>'R0031_Gen2_Averages'!I3*('R0031_Gen2_Liberation'!$H$5/100)</f>
        <v>0</v>
      </c>
      <c r="J3" s="21">
        <f>'R0031_Gen2_Averages'!J3*('R0031_Gen2_Liberation'!$H$4/100)</f>
        <v>17.444978705606498</v>
      </c>
      <c r="K3" s="21">
        <f>'R0031_Gen2_Averages'!K3*('R0031_Gen2_Liberation'!$H$4/100)</f>
        <v>0</v>
      </c>
      <c r="L3" s="21">
        <f>'R0031_Gen2_Averages'!L3*('R0031_Gen2_Liberation'!$H$3/100)</f>
        <v>7.676241842331212</v>
      </c>
      <c r="M3" s="21">
        <f>'R0031_Gen2_Averages'!M3*('R0031_Gen2_Liberation'!$H$3/100)</f>
        <v>0</v>
      </c>
      <c r="O3" s="21">
        <f>SUM(B3,D3,F3,H3,J3,L3)</f>
        <v>68.493961009015621</v>
      </c>
      <c r="P3" s="9">
        <f t="shared" ref="P3:P22" si="0">SQRT(SUMSQ(C3,E3,G3,I3,K3,M3))</f>
        <v>0</v>
      </c>
    </row>
    <row r="4" spans="1:16" s="24" customFormat="1" x14ac:dyDescent="0.25">
      <c r="A4" s="22" t="s">
        <v>12</v>
      </c>
      <c r="B4" s="23">
        <f>'R0031_Gen2_Averages'!B4*('R0031_Gen2_Liberation'!$H$8/100)</f>
        <v>0.31674857715877347</v>
      </c>
      <c r="C4" s="23">
        <f>('R0031_Gen2_Averages'!C4)*('R0031_Gen2_Liberation'!$H$8/100)</f>
        <v>1.9723417274226829E-2</v>
      </c>
      <c r="D4" s="23">
        <f>'R0031_Gen2_Averages'!D4*('R0031_Gen2_Liberation'!$H$7/100)</f>
        <v>0.38476638378889672</v>
      </c>
      <c r="E4" s="23">
        <f>'R0031_Gen2_Averages'!E4*('R0031_Gen2_Liberation'!$H$7/100)</f>
        <v>3.1726737425242423E-2</v>
      </c>
      <c r="F4" s="23">
        <f>'R0031_Gen2_Averages'!F4*('R0031_Gen2_Liberation'!$H$6/100)</f>
        <v>0.65335307422558697</v>
      </c>
      <c r="G4" s="23">
        <f>'R0031_Gen2_Averages'!G4*('R0031_Gen2_Liberation'!$H$6/100)</f>
        <v>7.7361605396847416E-2</v>
      </c>
      <c r="H4" s="23">
        <f>'R0031_Gen2_Averages'!H4*('R0031_Gen2_Liberation'!$H$5/100)</f>
        <v>0.83652646114587204</v>
      </c>
      <c r="I4" s="23">
        <f>'R0031_Gen2_Averages'!I4*('R0031_Gen2_Liberation'!$H$5/100)</f>
        <v>0.1885508269081651</v>
      </c>
      <c r="J4" s="23">
        <f>'R0031_Gen2_Averages'!J4*('R0031_Gen2_Liberation'!$H$4/100)</f>
        <v>0.75721343227875093</v>
      </c>
      <c r="K4" s="23">
        <f>'R0031_Gen2_Averages'!K4*('R0031_Gen2_Liberation'!$H$4/100)</f>
        <v>0.17663331693647921</v>
      </c>
      <c r="L4" s="23">
        <f>'R0031_Gen2_Averages'!L4*('R0031_Gen2_Liberation'!$H$3/100)</f>
        <v>0.42814390810010278</v>
      </c>
      <c r="M4" s="23">
        <f>'R0031_Gen2_Averages'!M4*('R0031_Gen2_Liberation'!$H$3/100)</f>
        <v>8.1795461826419738E-2</v>
      </c>
      <c r="O4" s="23">
        <f>SUM(B4,D4,F4,H4,J4,L4)</f>
        <v>3.376751836697983</v>
      </c>
      <c r="P4" s="24">
        <f t="shared" si="0"/>
        <v>0.2842915011064065</v>
      </c>
    </row>
    <row r="5" spans="1:16" x14ac:dyDescent="0.25">
      <c r="A5" s="2" t="s">
        <v>8</v>
      </c>
      <c r="B5" s="16">
        <f>'R0031_Gen2_Averages'!B5*('R0031_Gen2_Liberation'!$H$8/100)</f>
        <v>1.7246355893476392E-2</v>
      </c>
      <c r="C5" s="16">
        <f>('R0031_Gen2_Averages'!C5)*('R0031_Gen2_Liberation'!$H$8/100)</f>
        <v>1.2769681563244603E-2</v>
      </c>
      <c r="D5" s="16">
        <f>'R0031_Gen2_Averages'!D5*('R0031_Gen2_Liberation'!$H$7/100)</f>
        <v>1.9521072051045377E-2</v>
      </c>
      <c r="E5" s="16">
        <f>'R0031_Gen2_Averages'!E5*('R0031_Gen2_Liberation'!$H$7/100)</f>
        <v>1.0511768282302171E-2</v>
      </c>
      <c r="F5" s="16">
        <f>'R0031_Gen2_Averages'!F5*('R0031_Gen2_Liberation'!$H$6/100)</f>
        <v>2.2281457161959405E-2</v>
      </c>
      <c r="G5" s="16">
        <f>'R0031_Gen2_Averages'!G5*('R0031_Gen2_Liberation'!$H$6/100)</f>
        <v>1.6003320601394536E-2</v>
      </c>
      <c r="H5" s="16">
        <f>'R0031_Gen2_Averages'!H5*('R0031_Gen2_Liberation'!$H$5/100)</f>
        <v>5.8749178900161979E-2</v>
      </c>
      <c r="I5" s="16">
        <f>'R0031_Gen2_Averages'!I5*('R0031_Gen2_Liberation'!$H$5/100)</f>
        <v>2.9622643151760032E-2</v>
      </c>
      <c r="J5" s="16">
        <f>'R0031_Gen2_Averages'!J5*('R0031_Gen2_Liberation'!$H$4/100)</f>
        <v>1.7848921943424564E-2</v>
      </c>
      <c r="K5" s="16">
        <f>'R0031_Gen2_Averages'!K5*('R0031_Gen2_Liberation'!$H$4/100)</f>
        <v>1.8871167991399311E-2</v>
      </c>
      <c r="L5" s="16">
        <f>'R0031_Gen2_Averages'!L5*('R0031_Gen2_Liberation'!$H$3/100)</f>
        <v>2.4289642521451892E-2</v>
      </c>
      <c r="M5" s="16">
        <f>'R0031_Gen2_Averages'!M5*('R0031_Gen2_Liberation'!$H$3/100)</f>
        <v>4.2070894944840086E-2</v>
      </c>
      <c r="O5" s="16">
        <f>SUM(B5,D5,F5,H5,J5,L5)</f>
        <v>0.15993662847151963</v>
      </c>
      <c r="P5" s="16">
        <f t="shared" si="0"/>
        <v>5.944115140232735E-2</v>
      </c>
    </row>
    <row r="6" spans="1:16" x14ac:dyDescent="0.25">
      <c r="A6" s="2" t="s">
        <v>6</v>
      </c>
      <c r="B6" s="16">
        <f>'R0031_Gen2_Averages'!B6*('R0031_Gen2_Liberation'!$H$8/100)</f>
        <v>5.0993026511795249E-2</v>
      </c>
      <c r="C6" s="16">
        <f>('R0031_Gen2_Averages'!C6)*('R0031_Gen2_Liberation'!$H$8/100)</f>
        <v>3.1721658802768823E-2</v>
      </c>
      <c r="D6" s="16">
        <f>'R0031_Gen2_Averages'!D6*('R0031_Gen2_Liberation'!$H$7/100)</f>
        <v>2.1078334480198198E-2</v>
      </c>
      <c r="E6" s="16">
        <f>'R0031_Gen2_Averages'!E6*('R0031_Gen2_Liberation'!$H$7/100)</f>
        <v>5.0190335833940822E-3</v>
      </c>
      <c r="F6" s="16">
        <f>'R0031_Gen2_Averages'!F6*('R0031_Gen2_Liberation'!$H$6/100)</f>
        <v>3.9147313614825902E-2</v>
      </c>
      <c r="G6" s="16">
        <f>'R0031_Gen2_Averages'!G6*('R0031_Gen2_Liberation'!$H$6/100)</f>
        <v>1.4241654713852657E-2</v>
      </c>
      <c r="H6" s="16">
        <f>'R0031_Gen2_Averages'!H6*('R0031_Gen2_Liberation'!$H$5/100)</f>
        <v>7.5320594844855593E-2</v>
      </c>
      <c r="I6" s="16">
        <f>'R0031_Gen2_Averages'!I6*('R0031_Gen2_Liberation'!$H$5/100)</f>
        <v>3.1687196213458904E-2</v>
      </c>
      <c r="J6" s="16">
        <f>'R0031_Gen2_Averages'!J6*('R0031_Gen2_Liberation'!$H$4/100)</f>
        <v>1.9103391675143824E-2</v>
      </c>
      <c r="K6" s="16">
        <f>'R0031_Gen2_Averages'!K6*('R0031_Gen2_Liberation'!$H$4/100)</f>
        <v>1.9757771404994635E-2</v>
      </c>
      <c r="L6" s="16">
        <f>'R0031_Gen2_Averages'!L6*('R0031_Gen2_Liberation'!$H$3/100)</f>
        <v>3.5952733455297405E-2</v>
      </c>
      <c r="M6" s="16">
        <f>'R0031_Gen2_Averages'!M6*('R0031_Gen2_Liberation'!$H$3/100)</f>
        <v>3.6098735372873128E-2</v>
      </c>
      <c r="O6" s="16">
        <f>SUM(B6,D6,F6,H6,J6,L6)</f>
        <v>0.24159539458211615</v>
      </c>
      <c r="P6" s="16">
        <f t="shared" si="0"/>
        <v>6.2704431219668275E-2</v>
      </c>
    </row>
    <row r="7" spans="1:16" x14ac:dyDescent="0.25">
      <c r="A7" s="2" t="s">
        <v>14</v>
      </c>
      <c r="B7" s="16">
        <f>'R0031_Gen2_Averages'!B7*('R0031_Gen2_Liberation'!$H$8/100)</f>
        <v>9.1687315322776658E-3</v>
      </c>
      <c r="C7" s="16">
        <f>('R0031_Gen2_Averages'!C7)*('R0031_Gen2_Liberation'!$H$8/100)</f>
        <v>1.6280243614253073E-3</v>
      </c>
      <c r="D7" s="16">
        <f>'R0031_Gen2_Averages'!D7*('R0031_Gen2_Liberation'!$H$7/100)</f>
        <v>1.2061766715871058E-2</v>
      </c>
      <c r="E7" s="16">
        <f>'R0031_Gen2_Averages'!E7*('R0031_Gen2_Liberation'!$H$7/100)</f>
        <v>4.3443285855416878E-3</v>
      </c>
      <c r="F7" s="16">
        <f>'R0031_Gen2_Averages'!F7*('R0031_Gen2_Liberation'!$H$6/100)</f>
        <v>2.7772649188533255E-2</v>
      </c>
      <c r="G7" s="16">
        <f>'R0031_Gen2_Averages'!G7*('R0031_Gen2_Liberation'!$H$6/100)</f>
        <v>1.0790821046327215E-2</v>
      </c>
      <c r="H7" s="16">
        <f>'R0031_Gen2_Averages'!H7*('R0031_Gen2_Liberation'!$H$5/100)</f>
        <v>2.0750391768239413E-2</v>
      </c>
      <c r="I7" s="16">
        <f>'R0031_Gen2_Averages'!I7*('R0031_Gen2_Liberation'!$H$5/100)</f>
        <v>1.6537700034722779E-2</v>
      </c>
      <c r="J7" s="16">
        <f>'R0031_Gen2_Averages'!J7*('R0031_Gen2_Liberation'!$H$4/100)</f>
        <v>0.12409650685575341</v>
      </c>
      <c r="K7" s="16">
        <f>'R0031_Gen2_Averages'!K7*('R0031_Gen2_Liberation'!$H$4/100)</f>
        <v>0.17512493547060645</v>
      </c>
      <c r="L7" s="16">
        <f>'R0031_Gen2_Averages'!L7*('R0031_Gen2_Liberation'!$H$3/100)</f>
        <v>7.6263701088595232E-2</v>
      </c>
      <c r="M7" s="16">
        <f>'R0031_Gen2_Averages'!M7*('R0031_Gen2_Liberation'!$H$3/100)</f>
        <v>3.7988760162504569E-2</v>
      </c>
      <c r="O7" s="16">
        <f>SUM(B7,D7,F7,H7,J7,L7)</f>
        <v>0.27011374714927006</v>
      </c>
      <c r="P7" s="16">
        <f t="shared" si="0"/>
        <v>0.18034231316510621</v>
      </c>
    </row>
    <row r="8" spans="1:16" x14ac:dyDescent="0.25">
      <c r="A8" s="2" t="s">
        <v>15</v>
      </c>
      <c r="B8" s="16">
        <f>'R0031_Gen2_Averages'!B8*('R0031_Gen2_Liberation'!$H$8/100)</f>
        <v>3.2497207453184289E-2</v>
      </c>
      <c r="C8" s="16">
        <f>('R0031_Gen2_Averages'!C8)*('R0031_Gen2_Liberation'!$H$8/100)</f>
        <v>4.7477813864103798E-3</v>
      </c>
      <c r="D8" s="16">
        <f>'R0031_Gen2_Averages'!D8*('R0031_Gen2_Liberation'!$H$7/100)</f>
        <v>4.1377750034801278E-2</v>
      </c>
      <c r="E8" s="16">
        <f>'R0031_Gen2_Averages'!E8*('R0031_Gen2_Liberation'!$H$7/100)</f>
        <v>4.7619371299439583E-3</v>
      </c>
      <c r="F8" s="16">
        <f>'R0031_Gen2_Averages'!F8*('R0031_Gen2_Liberation'!$H$6/100)</f>
        <v>7.3779081651053027E-2</v>
      </c>
      <c r="G8" s="16">
        <f>'R0031_Gen2_Averages'!G8*('R0031_Gen2_Liberation'!$H$6/100)</f>
        <v>2.0090547808329588E-2</v>
      </c>
      <c r="H8" s="16">
        <f>'R0031_Gen2_Averages'!H8*('R0031_Gen2_Liberation'!$H$5/100)</f>
        <v>9.9527874295007493E-2</v>
      </c>
      <c r="I8" s="16">
        <f>'R0031_Gen2_Averages'!I8*('R0031_Gen2_Liberation'!$H$5/100)</f>
        <v>6.6410604674823764E-2</v>
      </c>
      <c r="J8" s="16">
        <f>'R0031_Gen2_Averages'!J8*('R0031_Gen2_Liberation'!$H$4/100)</f>
        <v>2.3874799896976377E-2</v>
      </c>
      <c r="K8" s="16">
        <f>'R0031_Gen2_Averages'!K8*('R0031_Gen2_Liberation'!$H$4/100)</f>
        <v>1.4961237734647689E-2</v>
      </c>
      <c r="L8" s="16">
        <f>'R0031_Gen2_Averages'!L8*('R0031_Gen2_Liberation'!$H$3/100)</f>
        <v>4.7843636099529518E-2</v>
      </c>
      <c r="M8" s="16">
        <f>'R0031_Gen2_Averages'!M8*('R0031_Gen2_Liberation'!$H$3/100)</f>
        <v>4.21924868433841E-2</v>
      </c>
      <c r="O8" s="16">
        <f t="shared" ref="O8:O16" si="1">SUM(B8,D8,F8,H8,J8,L8)</f>
        <v>0.31890034943055195</v>
      </c>
      <c r="P8" s="16">
        <f t="shared" si="0"/>
        <v>8.2844798137354236E-2</v>
      </c>
    </row>
    <row r="9" spans="1:16" x14ac:dyDescent="0.25">
      <c r="A9" s="2" t="s">
        <v>16</v>
      </c>
      <c r="B9" s="16">
        <f>'R0031_Gen2_Averages'!B9*('R0031_Gen2_Liberation'!$H$8/100)</f>
        <v>0.20684325576803989</v>
      </c>
      <c r="C9" s="16">
        <f>('R0031_Gen2_Averages'!C9)*('R0031_Gen2_Liberation'!$H$8/100)</f>
        <v>1.1502049126901833E-2</v>
      </c>
      <c r="D9" s="16">
        <f>'R0031_Gen2_Averages'!D9*('R0031_Gen2_Liberation'!$H$7/100)</f>
        <v>0.29072746050698078</v>
      </c>
      <c r="E9" s="16">
        <f>'R0031_Gen2_Averages'!E9*('R0031_Gen2_Liberation'!$H$7/100)</f>
        <v>1.9219104826788593E-2</v>
      </c>
      <c r="F9" s="16">
        <f>'R0031_Gen2_Averages'!F9*('R0031_Gen2_Liberation'!$H$6/100)</f>
        <v>0.49037257260921557</v>
      </c>
      <c r="G9" s="16">
        <f>'R0031_Gen2_Averages'!G9*('R0031_Gen2_Liberation'!$H$6/100)</f>
        <v>6.6563341831252967E-2</v>
      </c>
      <c r="H9" s="16">
        <f>'R0031_Gen2_Averages'!H9*('R0031_Gen2_Liberation'!$H$5/100)</f>
        <v>0.58217842133760755</v>
      </c>
      <c r="I9" s="16">
        <f>'R0031_Gen2_Averages'!I9*('R0031_Gen2_Liberation'!$H$5/100)</f>
        <v>0.10347683633443339</v>
      </c>
      <c r="J9" s="16">
        <f>'R0031_Gen2_Averages'!J9*('R0031_Gen2_Liberation'!$H$4/100)</f>
        <v>0.57228981190745276</v>
      </c>
      <c r="K9" s="16">
        <f>'R0031_Gen2_Averages'!K9*('R0031_Gen2_Liberation'!$H$4/100)</f>
        <v>6.2916358424688831E-2</v>
      </c>
      <c r="L9" s="16">
        <f>'R0031_Gen2_Averages'!L9*('R0031_Gen2_Liberation'!$H$3/100)</f>
        <v>0.24379419493522872</v>
      </c>
      <c r="M9" s="16">
        <f>'R0031_Gen2_Averages'!M9*('R0031_Gen2_Liberation'!$H$3/100)</f>
        <v>4.2860572062963419E-2</v>
      </c>
      <c r="O9" s="16">
        <f t="shared" si="1"/>
        <v>2.3862057170645254</v>
      </c>
      <c r="P9" s="16">
        <f t="shared" si="0"/>
        <v>0.14640799859630788</v>
      </c>
    </row>
    <row r="10" spans="1:16" s="10" customFormat="1" x14ac:dyDescent="0.25">
      <c r="A10" s="14" t="s">
        <v>20</v>
      </c>
      <c r="B10" s="18">
        <f>'R0031_Gen2_Averages'!B10*('R0031_Gen2_Liberation'!$H$8/100)</f>
        <v>6.3668271635925029</v>
      </c>
      <c r="C10" s="18">
        <f>('R0031_Gen2_Averages'!C10)*('R0031_Gen2_Liberation'!$H$8/100)</f>
        <v>1.9723417274226603E-2</v>
      </c>
      <c r="D10" s="18">
        <f>'R0031_Gen2_Averages'!D10*('R0031_Gen2_Liberation'!$H$7/100)</f>
        <v>6.3834115815288515</v>
      </c>
      <c r="E10" s="18">
        <f>'R0031_Gen2_Averages'!E10*('R0031_Gen2_Liberation'!$H$7/100)</f>
        <v>3.1726737425241743E-2</v>
      </c>
      <c r="F10" s="18">
        <f>'R0031_Gen2_Averages'!F10*('R0031_Gen2_Liberation'!$H$6/100)</f>
        <v>11.664730822652716</v>
      </c>
      <c r="G10" s="18">
        <f>'R0031_Gen2_Averages'!G10*('R0031_Gen2_Liberation'!$H$6/100)</f>
        <v>7.7361605396845959E-2</v>
      </c>
      <c r="H10" s="18">
        <f>'R0031_Gen2_Averages'!H10*('R0031_Gen2_Liberation'!$H$5/100)</f>
        <v>16.766376396984711</v>
      </c>
      <c r="I10" s="18">
        <f>'R0031_Gen2_Averages'!I10*('R0031_Gen2_Liberation'!$H$5/100)</f>
        <v>0.18855082690816632</v>
      </c>
      <c r="J10" s="18">
        <f>'R0031_Gen2_Averages'!J10*('R0031_Gen2_Liberation'!$H$4/100)</f>
        <v>16.687765273327745</v>
      </c>
      <c r="K10" s="18">
        <f>'R0031_Gen2_Averages'!K10*('R0031_Gen2_Liberation'!$H$4/100)</f>
        <v>0.17663331693647941</v>
      </c>
      <c r="L10" s="18">
        <f>'R0031_Gen2_Averages'!L10*('R0031_Gen2_Liberation'!$H$3/100)</f>
        <v>7.2480979342311098</v>
      </c>
      <c r="M10" s="18">
        <f>'R0031_Gen2_Averages'!M10*('R0031_Gen2_Liberation'!$H$3/100)</f>
        <v>8.1795461826419377E-2</v>
      </c>
      <c r="O10" s="18">
        <f t="shared" si="1"/>
        <v>65.117209172317644</v>
      </c>
      <c r="P10" s="10">
        <f t="shared" si="0"/>
        <v>0.28429150110640683</v>
      </c>
    </row>
    <row r="11" spans="1:16" s="11" customFormat="1" x14ac:dyDescent="0.25">
      <c r="A11" s="15" t="s">
        <v>17</v>
      </c>
      <c r="B11" s="17">
        <f>'R0031_Gen2_Averages'!B11*('R0031_Gen2_Liberation'!$H$8/100)</f>
        <v>4.8176193522272115</v>
      </c>
      <c r="C11" s="17">
        <f>('R0031_Gen2_Averages'!C11)*('R0031_Gen2_Liberation'!$H$8/100)</f>
        <v>4.1427314461256651E-2</v>
      </c>
      <c r="D11" s="17">
        <f>'R0031_Gen2_Averages'!D11*('R0031_Gen2_Liberation'!$H$7/100)</f>
        <v>4.5313579715091583</v>
      </c>
      <c r="E11" s="17">
        <f>'R0031_Gen2_Averages'!E11*('R0031_Gen2_Liberation'!$H$7/100)</f>
        <v>4.8206106838789259E-2</v>
      </c>
      <c r="F11" s="17">
        <f>'R0031_Gen2_Averages'!F11*('R0031_Gen2_Liberation'!$H$6/100)</f>
        <v>7.8610215244078621</v>
      </c>
      <c r="G11" s="17">
        <f>'R0031_Gen2_Averages'!G11*('R0031_Gen2_Liberation'!$H$6/100)</f>
        <v>0.12789977493730975</v>
      </c>
      <c r="H11" s="17">
        <f>'R0031_Gen2_Averages'!H11*('R0031_Gen2_Liberation'!$H$5/100)</f>
        <v>10.959181962632295</v>
      </c>
      <c r="I11" s="17">
        <f>'R0031_Gen2_Averages'!I11*('R0031_Gen2_Liberation'!$H$5/100)</f>
        <v>0.23793430750031791</v>
      </c>
      <c r="J11" s="17">
        <f>'R0031_Gen2_Averages'!J11*('R0031_Gen2_Liberation'!$H$4/100)</f>
        <v>8.7800760041197439</v>
      </c>
      <c r="K11" s="17">
        <f>'R0031_Gen2_Averages'!K11*('R0031_Gen2_Liberation'!$H$4/100)</f>
        <v>0.3559731653426047</v>
      </c>
      <c r="L11" s="17">
        <f>'R0031_Gen2_Averages'!L11*('R0031_Gen2_Liberation'!$H$3/100)</f>
        <v>3.0799956161724054</v>
      </c>
      <c r="M11" s="17">
        <f>'R0031_Gen2_Averages'!M11*('R0031_Gen2_Liberation'!$H$3/100)</f>
        <v>0.27412115691570854</v>
      </c>
      <c r="O11" s="17">
        <f t="shared" si="1"/>
        <v>40.02925243106867</v>
      </c>
      <c r="P11" s="11">
        <f t="shared" si="0"/>
        <v>0.5280818509923767</v>
      </c>
    </row>
    <row r="12" spans="1:16" x14ac:dyDescent="0.25">
      <c r="A12" s="2" t="s">
        <v>8</v>
      </c>
      <c r="B12" s="16">
        <f>'R0031_Gen2_Averages'!B12*('R0031_Gen2_Liberation'!$H$8/100)</f>
        <v>4.6879628711205967</v>
      </c>
      <c r="C12" s="16">
        <f>('R0031_Gen2_Averages'!C12)*('R0031_Gen2_Liberation'!$H$8/100)</f>
        <v>1.5957064442000121E-2</v>
      </c>
      <c r="D12" s="16">
        <f>'R0031_Gen2_Averages'!D12*('R0031_Gen2_Liberation'!$H$7/100)</f>
        <v>4.3747444938990059</v>
      </c>
      <c r="E12" s="16">
        <f>'R0031_Gen2_Averages'!E12*('R0031_Gen2_Liberation'!$H$7/100)</f>
        <v>3.1914495882884426E-2</v>
      </c>
      <c r="F12" s="16">
        <f>'R0031_Gen2_Averages'!F12*('R0031_Gen2_Liberation'!$H$6/100)</f>
        <v>7.5572968192307801</v>
      </c>
      <c r="G12" s="16">
        <f>'R0031_Gen2_Averages'!G12*('R0031_Gen2_Liberation'!$H$6/100)</f>
        <v>0.15037143009831619</v>
      </c>
      <c r="H12" s="16">
        <f>'R0031_Gen2_Averages'!H12*('R0031_Gen2_Liberation'!$H$5/100)</f>
        <v>10.155192332100899</v>
      </c>
      <c r="I12" s="16">
        <f>'R0031_Gen2_Averages'!I12*('R0031_Gen2_Liberation'!$H$5/100)</f>
        <v>0.36495232304312292</v>
      </c>
      <c r="J12" s="16">
        <f>'R0031_Gen2_Averages'!J12*('R0031_Gen2_Liberation'!$H$4/100)</f>
        <v>8.1110535628274079</v>
      </c>
      <c r="K12" s="16">
        <f>'R0031_Gen2_Averages'!K12*('R0031_Gen2_Liberation'!$H$4/100)</f>
        <v>0.27180028955653379</v>
      </c>
      <c r="L12" s="16">
        <f>'R0031_Gen2_Averages'!L12*('R0031_Gen2_Liberation'!$H$3/100)</f>
        <v>2.5381611419365111</v>
      </c>
      <c r="M12" s="16">
        <f>'R0031_Gen2_Averages'!M12*('R0031_Gen2_Liberation'!$H$3/100)</f>
        <v>0.18420549392107446</v>
      </c>
      <c r="O12" s="16">
        <f t="shared" si="1"/>
        <v>37.424411221115207</v>
      </c>
      <c r="P12" s="16">
        <f t="shared" si="0"/>
        <v>0.51466687228844654</v>
      </c>
    </row>
    <row r="13" spans="1:16" x14ac:dyDescent="0.25">
      <c r="A13" s="2" t="s">
        <v>6</v>
      </c>
      <c r="B13" s="16">
        <f>'R0031_Gen2_Averages'!B13*('R0031_Gen2_Liberation'!$H$8/100)</f>
        <v>8.1465658465755778E-2</v>
      </c>
      <c r="C13" s="16">
        <f>('R0031_Gen2_Averages'!C13)*('R0031_Gen2_Liberation'!$H$8/100)</f>
        <v>1.7762233287842745E-2</v>
      </c>
      <c r="D13" s="16">
        <f>'R0031_Gen2_Averages'!D13*('R0031_Gen2_Liberation'!$H$7/100)</f>
        <v>9.7354293350155469E-2</v>
      </c>
      <c r="E13" s="16">
        <f>'R0031_Gen2_Averages'!E13*('R0031_Gen2_Liberation'!$H$7/100)</f>
        <v>2.3679978816805749E-2</v>
      </c>
      <c r="F13" s="16">
        <f>'R0031_Gen2_Averages'!F13*('R0031_Gen2_Liberation'!$H$6/100)</f>
        <v>0.1213485131349813</v>
      </c>
      <c r="G13" s="16">
        <f>'R0031_Gen2_Averages'!G13*('R0031_Gen2_Liberation'!$H$6/100)</f>
        <v>1.9637951429034572E-2</v>
      </c>
      <c r="H13" s="16">
        <f>'R0031_Gen2_Averages'!H13*('R0031_Gen2_Liberation'!$H$5/100)</f>
        <v>0.30621556948175638</v>
      </c>
      <c r="I13" s="16">
        <f>'R0031_Gen2_Averages'!I13*('R0031_Gen2_Liberation'!$H$5/100)</f>
        <v>9.1566847875217489E-2</v>
      </c>
      <c r="J13" s="16">
        <f>'R0031_Gen2_Averages'!J13*('R0031_Gen2_Liberation'!$H$4/100)</f>
        <v>3.4275375160704738E-2</v>
      </c>
      <c r="K13" s="16">
        <f>'R0031_Gen2_Averages'!K13*('R0031_Gen2_Liberation'!$H$4/100)</f>
        <v>2.4170790230933905E-2</v>
      </c>
      <c r="L13" s="16">
        <f>'R0031_Gen2_Averages'!L13*('R0031_Gen2_Liberation'!$H$3/100)</f>
        <v>1.5456973004529423E-2</v>
      </c>
      <c r="M13" s="16">
        <f>'R0031_Gen2_Averages'!M13*('R0031_Gen2_Liberation'!$H$3/100)</f>
        <v>1.1848619743863354E-2</v>
      </c>
      <c r="O13" s="16">
        <f t="shared" si="1"/>
        <v>0.65611638259788319</v>
      </c>
      <c r="P13" s="16">
        <f t="shared" si="0"/>
        <v>0.10183806746247172</v>
      </c>
    </row>
    <row r="14" spans="1:16" x14ac:dyDescent="0.25">
      <c r="A14" s="2" t="s">
        <v>14</v>
      </c>
      <c r="B14" s="16">
        <f>'R0031_Gen2_Averages'!B14*('R0031_Gen2_Liberation'!$H$8/100)</f>
        <v>1.8832730903999589E-2</v>
      </c>
      <c r="C14" s="16">
        <f>('R0031_Gen2_Averages'!C14)*('R0031_Gen2_Liberation'!$H$8/100)</f>
        <v>5.648573437664544E-3</v>
      </c>
      <c r="D14" s="16">
        <f>'R0031_Gen2_Averages'!D14*('R0031_Gen2_Liberation'!$H$7/100)</f>
        <v>4.0200590170828984E-2</v>
      </c>
      <c r="E14" s="16">
        <f>'R0031_Gen2_Averages'!E14*('R0031_Gen2_Liberation'!$H$7/100)</f>
        <v>5.0485726379930745E-3</v>
      </c>
      <c r="F14" s="16">
        <f>'R0031_Gen2_Averages'!F14*('R0031_Gen2_Liberation'!$H$6/100)</f>
        <v>0.15020043641001796</v>
      </c>
      <c r="G14" s="16">
        <f>'R0031_Gen2_Averages'!G14*('R0031_Gen2_Liberation'!$H$6/100)</f>
        <v>5.8417465805991046E-2</v>
      </c>
      <c r="H14" s="16">
        <f>'R0031_Gen2_Averages'!H14*('R0031_Gen2_Liberation'!$H$5/100)</f>
        <v>0.42232986190510285</v>
      </c>
      <c r="I14" s="16">
        <f>'R0031_Gen2_Averages'!I14*('R0031_Gen2_Liberation'!$H$5/100)</f>
        <v>0.19118128515591262</v>
      </c>
      <c r="J14" s="16">
        <f>'R0031_Gen2_Averages'!J14*('R0031_Gen2_Liberation'!$H$4/100)</f>
        <v>0.61223246106632023</v>
      </c>
      <c r="K14" s="16">
        <f>'R0031_Gen2_Averages'!K14*('R0031_Gen2_Liberation'!$H$4/100)</f>
        <v>0.32553111006940294</v>
      </c>
      <c r="L14" s="16">
        <f>'R0031_Gen2_Averages'!L14*('R0031_Gen2_Liberation'!$H$3/100)</f>
        <v>0.4600571883968031</v>
      </c>
      <c r="M14" s="16">
        <f>'R0031_Gen2_Averages'!M14*('R0031_Gen2_Liberation'!$H$3/100)</f>
        <v>0.23659935905077364</v>
      </c>
      <c r="O14" s="16">
        <f t="shared" si="1"/>
        <v>1.7038532688530728</v>
      </c>
      <c r="P14" s="16">
        <f t="shared" si="0"/>
        <v>0.44941076856132067</v>
      </c>
    </row>
    <row r="15" spans="1:16" x14ac:dyDescent="0.25">
      <c r="A15" s="2" t="s">
        <v>15</v>
      </c>
      <c r="B15" s="16">
        <f>'R0031_Gen2_Averages'!B15*('R0031_Gen2_Liberation'!$H$8/100)</f>
        <v>1.337158171090767E-2</v>
      </c>
      <c r="C15" s="16">
        <f>('R0031_Gen2_Averages'!C15)*('R0031_Gen2_Liberation'!$H$8/100)</f>
        <v>1.8857124256722649E-2</v>
      </c>
      <c r="D15" s="16">
        <f>'R0031_Gen2_Averages'!D15*('R0031_Gen2_Liberation'!$H$7/100)</f>
        <v>1.5102262003006727E-2</v>
      </c>
      <c r="E15" s="16">
        <f>'R0031_Gen2_Averages'!E15*('R0031_Gen2_Liberation'!$H$7/100)</f>
        <v>1.2293419766150324E-2</v>
      </c>
      <c r="F15" s="16">
        <f>'R0031_Gen2_Averages'!F15*('R0031_Gen2_Liberation'!$H$6/100)</f>
        <v>2.4549410638787073E-2</v>
      </c>
      <c r="G15" s="16">
        <f>'R0031_Gen2_Averages'!G15*('R0031_Gen2_Liberation'!$H$6/100)</f>
        <v>7.6610477403599849E-3</v>
      </c>
      <c r="H15" s="16">
        <f>'R0031_Gen2_Averages'!H15*('R0031_Gen2_Liberation'!$H$5/100)</f>
        <v>3.5576620557134508E-2</v>
      </c>
      <c r="I15" s="16">
        <f>'R0031_Gen2_Averages'!I15*('R0031_Gen2_Liberation'!$H$5/100)</f>
        <v>5.8028687131385448E-3</v>
      </c>
      <c r="J15" s="16">
        <f>'R0031_Gen2_Averages'!J15*('R0031_Gen2_Liberation'!$H$4/100)</f>
        <v>1.5382208948083682E-2</v>
      </c>
      <c r="K15" s="16">
        <f>'R0031_Gen2_Averages'!K15*('R0031_Gen2_Liberation'!$H$4/100)</f>
        <v>2.6642767430721553E-2</v>
      </c>
      <c r="L15" s="16">
        <f>'R0031_Gen2_Averages'!L15*('R0031_Gen2_Liberation'!$H$3/100)</f>
        <v>6.632031283456187E-2</v>
      </c>
      <c r="M15" s="16">
        <f>'R0031_Gen2_Averages'!M15*('R0031_Gen2_Liberation'!$H$3/100)</f>
        <v>0.10586837260606954</v>
      </c>
      <c r="O15" s="16">
        <f t="shared" si="1"/>
        <v>0.17030239669248154</v>
      </c>
      <c r="P15" s="16">
        <f t="shared" si="0"/>
        <v>0.11187954959324489</v>
      </c>
    </row>
    <row r="16" spans="1:16" x14ac:dyDescent="0.25">
      <c r="A16" s="2" t="s">
        <v>16</v>
      </c>
      <c r="B16" s="16">
        <f>'R0031_Gen2_Averages'!B16*('R0031_Gen2_Liberation'!$H$8/100)</f>
        <v>1.3972221048192379E-2</v>
      </c>
      <c r="C16" s="16">
        <f>('R0031_Gen2_Averages'!C16)*('R0031_Gen2_Liberation'!$H$8/100)</f>
        <v>1.5860566582253287E-2</v>
      </c>
      <c r="D16" s="16">
        <f>'R0031_Gen2_Averages'!D16*('R0031_Gen2_Liberation'!$H$7/100)</f>
        <v>3.9563320861607729E-3</v>
      </c>
      <c r="E16" s="16">
        <f>'R0031_Gen2_Averages'!E16*('R0031_Gen2_Liberation'!$H$7/100)</f>
        <v>3.245079527293371E-3</v>
      </c>
      <c r="F16" s="16">
        <f>'R0031_Gen2_Averages'!F16*('R0031_Gen2_Liberation'!$H$6/100)</f>
        <v>7.6263449932950219E-3</v>
      </c>
      <c r="G16" s="16">
        <f>'R0031_Gen2_Averages'!G16*('R0031_Gen2_Liberation'!$H$6/100)</f>
        <v>2.6266122160196483E-3</v>
      </c>
      <c r="H16" s="16">
        <f>'R0031_Gen2_Averages'!H16*('R0031_Gen2_Liberation'!$H$5/100)</f>
        <v>3.9867578587400324E-2</v>
      </c>
      <c r="I16" s="16">
        <f>'R0031_Gen2_Averages'!I16*('R0031_Gen2_Liberation'!$H$5/100)</f>
        <v>5.2516276017220961E-2</v>
      </c>
      <c r="J16" s="16">
        <f>'R0031_Gen2_Averages'!J16*('R0031_Gen2_Liberation'!$H$4/100)</f>
        <v>7.132396117225861E-3</v>
      </c>
      <c r="K16" s="16">
        <f>'R0031_Gen2_Averages'!K16*('R0031_Gen2_Liberation'!$H$4/100)</f>
        <v>6.0291626414598395E-3</v>
      </c>
      <c r="L16" s="16">
        <f>'R0031_Gen2_Averages'!L16*('R0031_Gen2_Liberation'!$H$3/100)</f>
        <v>0</v>
      </c>
      <c r="M16" s="16">
        <f>'R0031_Gen2_Averages'!M16*('R0031_Gen2_Liberation'!$H$3/100)</f>
        <v>0</v>
      </c>
      <c r="O16" s="16">
        <f t="shared" si="1"/>
        <v>7.2554872832274367E-2</v>
      </c>
      <c r="P16" s="16">
        <f t="shared" si="0"/>
        <v>5.5347061837608007E-2</v>
      </c>
    </row>
    <row r="17" spans="1:21" s="20" customFormat="1" x14ac:dyDescent="0.25">
      <c r="A17" s="12" t="s">
        <v>18</v>
      </c>
      <c r="B17" s="19">
        <f>'R0031_Gen2_Averages'!B17*('R0031_Gen2_Liberation'!$H$8/100)</f>
        <v>1.5492078113652905</v>
      </c>
      <c r="C17" s="19">
        <f>('R0031_Gen2_Averages'!C17)*('R0031_Gen2_Liberation'!$H$8/100)</f>
        <v>4.2272888538530409E-2</v>
      </c>
      <c r="D17" s="19">
        <f>'R0031_Gen2_Averages'!D17*('R0031_Gen2_Liberation'!$H$7/100)</f>
        <v>1.8520536100196934</v>
      </c>
      <c r="E17" s="19">
        <f>'R0031_Gen2_Averages'!E17*('R0031_Gen2_Liberation'!$H$7/100)</f>
        <v>5.1611485454011445E-2</v>
      </c>
      <c r="F17" s="19">
        <f>'R0031_Gen2_Averages'!F17*('R0031_Gen2_Liberation'!$H$6/100)</f>
        <v>3.8037092982448528</v>
      </c>
      <c r="G17" s="19">
        <f>'R0031_Gen2_Averages'!G17*('R0031_Gen2_Liberation'!$H$6/100)</f>
        <v>0.16109204679386646</v>
      </c>
      <c r="H17" s="19">
        <f>'R0031_Gen2_Averages'!H17*('R0031_Gen2_Liberation'!$H$5/100)</f>
        <v>5.8071944343524136</v>
      </c>
      <c r="I17" s="19">
        <f>'R0031_Gen2_Averages'!I17*('R0031_Gen2_Liberation'!$H$5/100)</f>
        <v>0.23139480791286088</v>
      </c>
      <c r="J17" s="19">
        <f>'R0031_Gen2_Averages'!J17*('R0031_Gen2_Liberation'!$H$4/100)</f>
        <v>7.9076892692080039</v>
      </c>
      <c r="K17" s="19">
        <f>'R0031_Gen2_Averages'!K17*('R0031_Gen2_Liberation'!$H$4/100)</f>
        <v>0.37225418835382762</v>
      </c>
      <c r="L17" s="19">
        <f>'R0031_Gen2_Averages'!L17*('R0031_Gen2_Liberation'!$H$3/100)</f>
        <v>4.1681023180587031</v>
      </c>
      <c r="M17" s="19">
        <f>'R0031_Gen2_Averages'!M17*('R0031_Gen2_Liberation'!$H$3/100)</f>
        <v>0.31778018209154069</v>
      </c>
      <c r="O17" s="19">
        <f>SUM(B17,D17,F17,H17,J17,L17)</f>
        <v>25.087956741248956</v>
      </c>
      <c r="P17" s="20">
        <f t="shared" si="0"/>
        <v>0.56877268929030644</v>
      </c>
    </row>
    <row r="18" spans="1:21" x14ac:dyDescent="0.25">
      <c r="A18" s="2" t="s">
        <v>8</v>
      </c>
      <c r="B18" s="16">
        <f>'R0031_Gen2_Averages'!B18*('R0031_Gen2_Liberation'!$H$8/100)</f>
        <v>3.6443009668690757E-3</v>
      </c>
      <c r="C18" s="16">
        <f>('R0031_Gen2_Averages'!C18)*('R0031_Gen2_Liberation'!$H$8/100)</f>
        <v>2.1523041565287755E-3</v>
      </c>
      <c r="D18" s="16">
        <f>'R0031_Gen2_Averages'!D18*('R0031_Gen2_Liberation'!$H$7/100)</f>
        <v>3.6811758560434059E-3</v>
      </c>
      <c r="E18" s="16">
        <f>'R0031_Gen2_Averages'!E18*('R0031_Gen2_Liberation'!$H$7/100)</f>
        <v>1.8704092274243074E-3</v>
      </c>
      <c r="F18" s="16">
        <f>'R0031_Gen2_Averages'!F18*('R0031_Gen2_Liberation'!$H$6/100)</f>
        <v>1.9581661663575764E-2</v>
      </c>
      <c r="G18" s="16">
        <f>'R0031_Gen2_Averages'!G18*('R0031_Gen2_Liberation'!$H$6/100)</f>
        <v>1.0232263207455261E-2</v>
      </c>
      <c r="H18" s="16">
        <f>'R0031_Gen2_Averages'!H18*('R0031_Gen2_Liberation'!$H$5/100)</f>
        <v>0.16237439724231961</v>
      </c>
      <c r="I18" s="16">
        <f>'R0031_Gen2_Averages'!I18*('R0031_Gen2_Liberation'!$H$5/100)</f>
        <v>8.8915183362694911E-2</v>
      </c>
      <c r="J18" s="16">
        <f>'R0031_Gen2_Averages'!J18*('R0031_Gen2_Liberation'!$H$4/100)</f>
        <v>0.60328479178281014</v>
      </c>
      <c r="K18" s="16">
        <f>'R0031_Gen2_Averages'!K18*('R0031_Gen2_Liberation'!$H$4/100)</f>
        <v>0.23016883822531617</v>
      </c>
      <c r="L18" s="16">
        <f>'R0031_Gen2_Averages'!L18*('R0031_Gen2_Liberation'!$H$3/100)</f>
        <v>0.28781425131597821</v>
      </c>
      <c r="M18" s="16">
        <f>'R0031_Gen2_Averages'!M18*('R0031_Gen2_Liberation'!$H$3/100)</f>
        <v>3.766293734166503E-2</v>
      </c>
      <c r="O18" s="16">
        <f>SUM(B18,D18,F18,H18,J18,L18)</f>
        <v>1.0803805788275962</v>
      </c>
      <c r="P18" s="16">
        <f t="shared" si="0"/>
        <v>0.24982980371809624</v>
      </c>
    </row>
    <row r="19" spans="1:21" x14ac:dyDescent="0.25">
      <c r="A19" s="2" t="s">
        <v>6</v>
      </c>
      <c r="B19" s="16">
        <f>'R0031_Gen2_Averages'!B19*('R0031_Gen2_Liberation'!$H$8/100)</f>
        <v>1.5080938968872915</v>
      </c>
      <c r="C19" s="16">
        <f>('R0031_Gen2_Averages'!C19)*('R0031_Gen2_Liberation'!$H$8/100)</f>
        <v>4.3154244534705039E-2</v>
      </c>
      <c r="D19" s="16">
        <f>'R0031_Gen2_Averages'!D19*('R0031_Gen2_Liberation'!$H$7/100)</f>
        <v>1.7779378639794523</v>
      </c>
      <c r="E19" s="16">
        <f>'R0031_Gen2_Averages'!E19*('R0031_Gen2_Liberation'!$H$7/100)</f>
        <v>5.6289981857910218E-2</v>
      </c>
      <c r="F19" s="16">
        <f>'R0031_Gen2_Averages'!F19*('R0031_Gen2_Liberation'!$H$6/100)</f>
        <v>3.4952885248233541</v>
      </c>
      <c r="G19" s="16">
        <f>'R0031_Gen2_Averages'!G19*('R0031_Gen2_Liberation'!$H$6/100)</f>
        <v>0.15342850395073529</v>
      </c>
      <c r="H19" s="16">
        <f>'R0031_Gen2_Averages'!H19*('R0031_Gen2_Liberation'!$H$5/100)</f>
        <v>4.9478557569136381</v>
      </c>
      <c r="I19" s="16">
        <f>'R0031_Gen2_Averages'!I19*('R0031_Gen2_Liberation'!$H$5/100)</f>
        <v>0.15302239867472303</v>
      </c>
      <c r="J19" s="16">
        <f>'R0031_Gen2_Averages'!J19*('R0031_Gen2_Liberation'!$H$4/100)</f>
        <v>5.7109427947044651</v>
      </c>
      <c r="K19" s="16">
        <f>'R0031_Gen2_Averages'!K19*('R0031_Gen2_Liberation'!$H$4/100)</f>
        <v>0.32058162999454365</v>
      </c>
      <c r="L19" s="16">
        <f>'R0031_Gen2_Averages'!L19*('R0031_Gen2_Liberation'!$H$3/100)</f>
        <v>2.1557392741201284</v>
      </c>
      <c r="M19" s="16">
        <f>'R0031_Gen2_Averages'!M19*('R0031_Gen2_Liberation'!$H$3/100)</f>
        <v>0.14002987380001616</v>
      </c>
      <c r="O19" s="16">
        <f t="shared" ref="O19:O22" si="2">SUM(B19,D19,F19,H19,J19,L19)</f>
        <v>19.595858111428331</v>
      </c>
      <c r="P19" s="16">
        <f t="shared" si="0"/>
        <v>0.41757389555150426</v>
      </c>
    </row>
    <row r="20" spans="1:21" x14ac:dyDescent="0.25">
      <c r="A20" s="2" t="s">
        <v>14</v>
      </c>
      <c r="B20" s="16">
        <f>'R0031_Gen2_Averages'!B20*('R0031_Gen2_Liberation'!$H$8/100)</f>
        <v>6.7804899069877616E-3</v>
      </c>
      <c r="C20" s="16">
        <f>('R0031_Gen2_Averages'!C20)*('R0031_Gen2_Liberation'!$H$8/100)</f>
        <v>2.2208925573843064E-4</v>
      </c>
      <c r="D20" s="16">
        <f>'R0031_Gen2_Averages'!D20*('R0031_Gen2_Liberation'!$H$7/100)</f>
        <v>2.1520019517183273E-2</v>
      </c>
      <c r="E20" s="16">
        <f>'R0031_Gen2_Averages'!E20*('R0031_Gen2_Liberation'!$H$7/100)</f>
        <v>3.7374756034459877E-3</v>
      </c>
      <c r="F20" s="16">
        <f>'R0031_Gen2_Averages'!F20*('R0031_Gen2_Liberation'!$H$6/100)</f>
        <v>9.8784036378976731E-2</v>
      </c>
      <c r="G20" s="16">
        <f>'R0031_Gen2_Averages'!G20*('R0031_Gen2_Liberation'!$H$6/100)</f>
        <v>1.461156084370333E-2</v>
      </c>
      <c r="H20" s="16">
        <f>'R0031_Gen2_Averages'!H20*('R0031_Gen2_Liberation'!$H$5/100)</f>
        <v>0.31807183160634861</v>
      </c>
      <c r="I20" s="16">
        <f>'R0031_Gen2_Averages'!I20*('R0031_Gen2_Liberation'!$H$5/100)</f>
        <v>0.10888396051650319</v>
      </c>
      <c r="J20" s="16">
        <f>'R0031_Gen2_Averages'!J20*('R0031_Gen2_Liberation'!$H$4/100)</f>
        <v>0.85468168855067839</v>
      </c>
      <c r="K20" s="16">
        <f>'R0031_Gen2_Averages'!K20*('R0031_Gen2_Liberation'!$H$4/100)</f>
        <v>0.26674529197071079</v>
      </c>
      <c r="L20" s="16">
        <f>'R0031_Gen2_Averages'!L20*('R0031_Gen2_Liberation'!$H$3/100)</f>
        <v>0.97709099196825633</v>
      </c>
      <c r="M20" s="16">
        <f>'R0031_Gen2_Averages'!M20*('R0031_Gen2_Liberation'!$H$3/100)</f>
        <v>0.1762630440905508</v>
      </c>
      <c r="O20" s="16">
        <f t="shared" si="2"/>
        <v>2.2769290579284309</v>
      </c>
      <c r="P20" s="16">
        <f t="shared" si="0"/>
        <v>0.33809014199792892</v>
      </c>
    </row>
    <row r="21" spans="1:21" x14ac:dyDescent="0.25">
      <c r="A21" s="2" t="s">
        <v>15</v>
      </c>
      <c r="B21" s="16">
        <f>'R0031_Gen2_Averages'!B21*('R0031_Gen2_Liberation'!$H$8/100)</f>
        <v>2.2397017743984064E-2</v>
      </c>
      <c r="C21" s="16">
        <f>('R0031_Gen2_Averages'!C21)*('R0031_Gen2_Liberation'!$H$8/100)</f>
        <v>4.4199224825144092E-3</v>
      </c>
      <c r="D21" s="16">
        <f>'R0031_Gen2_Averages'!D21*('R0031_Gen2_Liberation'!$H$7/100)</f>
        <v>4.415842562617979E-2</v>
      </c>
      <c r="E21" s="16">
        <f>'R0031_Gen2_Averages'!E21*('R0031_Gen2_Liberation'!$H$7/100)</f>
        <v>1.0684628862200415E-2</v>
      </c>
      <c r="F21" s="16">
        <f>'R0031_Gen2_Averages'!F21*('R0031_Gen2_Liberation'!$H$6/100)</f>
        <v>0.1486943696049973</v>
      </c>
      <c r="G21" s="16">
        <f>'R0031_Gen2_Averages'!G21*('R0031_Gen2_Liberation'!$H$6/100)</f>
        <v>3.1280433090999656E-2</v>
      </c>
      <c r="H21" s="16">
        <f>'R0031_Gen2_Averages'!H21*('R0031_Gen2_Liberation'!$H$5/100)</f>
        <v>0.29366986521546706</v>
      </c>
      <c r="I21" s="16">
        <f>'R0031_Gen2_Averages'!I21*('R0031_Gen2_Liberation'!$H$5/100)</f>
        <v>6.0825497622630571E-2</v>
      </c>
      <c r="J21" s="16">
        <f>'R0031_Gen2_Averages'!J21*('R0031_Gen2_Liberation'!$H$4/100)</f>
        <v>0.64318762097853999</v>
      </c>
      <c r="K21" s="16">
        <f>'R0031_Gen2_Averages'!K21*('R0031_Gen2_Liberation'!$H$4/100)</f>
        <v>1.5646176447832259E-2</v>
      </c>
      <c r="L21" s="16">
        <f>'R0031_Gen2_Averages'!L21*('R0031_Gen2_Liberation'!$H$3/100)</f>
        <v>0.73443846453271056</v>
      </c>
      <c r="M21" s="16">
        <f>'R0031_Gen2_Averages'!M21*('R0031_Gen2_Liberation'!$H$3/100)</f>
        <v>0.11597884216028685</v>
      </c>
      <c r="O21" s="16">
        <f t="shared" si="2"/>
        <v>1.8865457637018785</v>
      </c>
      <c r="P21" s="16">
        <f t="shared" si="0"/>
        <v>0.13604336929947367</v>
      </c>
    </row>
    <row r="22" spans="1:21" x14ac:dyDescent="0.25">
      <c r="A22" s="2" t="s">
        <v>16</v>
      </c>
      <c r="B22" s="16">
        <f>'R0031_Gen2_Averages'!B22*('R0031_Gen2_Liberation'!$H$8/100)</f>
        <v>8.2921058601580378E-3</v>
      </c>
      <c r="C22" s="16">
        <f>('R0031_Gen2_Averages'!C22)*('R0031_Gen2_Liberation'!$H$8/100)</f>
        <v>1.349984252356107E-3</v>
      </c>
      <c r="D22" s="16">
        <f>'R0031_Gen2_Averages'!D22*('R0031_Gen2_Liberation'!$H$7/100)</f>
        <v>4.7561250408344278E-3</v>
      </c>
      <c r="E22" s="16">
        <f>'R0031_Gen2_Averages'!E22*('R0031_Gen2_Liberation'!$H$7/100)</f>
        <v>2.3980425809532304E-3</v>
      </c>
      <c r="F22" s="16">
        <f>'R0031_Gen2_Averages'!F22*('R0031_Gen2_Liberation'!$H$6/100)</f>
        <v>4.1360705773949014E-2</v>
      </c>
      <c r="G22" s="16">
        <f>'R0031_Gen2_Averages'!G22*('R0031_Gen2_Liberation'!$H$6/100)</f>
        <v>1.1645350064171403E-2</v>
      </c>
      <c r="H22" s="16">
        <f>'R0031_Gen2_Averages'!H22*('R0031_Gen2_Liberation'!$H$5/100)</f>
        <v>8.5222583374641142E-2</v>
      </c>
      <c r="I22" s="16">
        <f>'R0031_Gen2_Averages'!I22*('R0031_Gen2_Liberation'!$H$5/100)</f>
        <v>5.7229536452862911E-2</v>
      </c>
      <c r="J22" s="16">
        <f>'R0031_Gen2_Averages'!J22*('R0031_Gen2_Liberation'!$H$4/100)</f>
        <v>9.5592373191509331E-2</v>
      </c>
      <c r="K22" s="16">
        <f>'R0031_Gen2_Averages'!K22*('R0031_Gen2_Liberation'!$H$4/100)</f>
        <v>2.1750163763927667E-2</v>
      </c>
      <c r="L22" s="16">
        <f>'R0031_Gen2_Averages'!L22*('R0031_Gen2_Liberation'!$H$3/100)</f>
        <v>1.3019336121630634E-2</v>
      </c>
      <c r="M22" s="16">
        <f>'R0031_Gen2_Averages'!M22*('R0031_Gen2_Liberation'!$H$3/100)</f>
        <v>6.60617846159532E-3</v>
      </c>
      <c r="O22" s="16">
        <f t="shared" si="2"/>
        <v>0.24824322936272258</v>
      </c>
      <c r="P22" s="16">
        <f t="shared" si="0"/>
        <v>6.2730521311818013E-2</v>
      </c>
    </row>
    <row r="24" spans="1:21" x14ac:dyDescent="0.25">
      <c r="A24" t="s">
        <v>109</v>
      </c>
      <c r="F24" t="s">
        <v>76</v>
      </c>
      <c r="O24" s="16"/>
    </row>
    <row r="25" spans="1:21" x14ac:dyDescent="0.25">
      <c r="A25" t="s">
        <v>110</v>
      </c>
      <c r="B25" s="46">
        <v>1</v>
      </c>
      <c r="C25" s="47">
        <f>B25</f>
        <v>1</v>
      </c>
      <c r="D25" s="45">
        <v>2</v>
      </c>
      <c r="E25" s="47">
        <f>D25</f>
        <v>2</v>
      </c>
      <c r="F25" s="45">
        <v>2.8</v>
      </c>
      <c r="G25" s="47">
        <f>F25</f>
        <v>2.8</v>
      </c>
      <c r="H25" s="45">
        <v>4</v>
      </c>
      <c r="I25" s="47">
        <f>H25</f>
        <v>4</v>
      </c>
      <c r="J25" s="45">
        <v>5.6</v>
      </c>
      <c r="K25" s="47">
        <f>J25</f>
        <v>5.6</v>
      </c>
      <c r="L25" s="45">
        <v>8</v>
      </c>
      <c r="M25" s="47">
        <f>L25</f>
        <v>8</v>
      </c>
      <c r="O25" s="16" t="s">
        <v>111</v>
      </c>
      <c r="S25" t="s">
        <v>112</v>
      </c>
      <c r="U25" t="s">
        <v>113</v>
      </c>
    </row>
    <row r="26" spans="1:21" x14ac:dyDescent="0.25">
      <c r="A26" s="2" t="s">
        <v>77</v>
      </c>
      <c r="B26">
        <f>(B8+B9+($L$40+$L$41)*B7)/B4</f>
        <v>0.75792689157877868</v>
      </c>
      <c r="C26" s="48">
        <f>(SQRT(SUMSQ(
(100*(C4/B4)),
(100*(SQRT(SUMSQ(C8,C9)))/(B8+B9))
)))
*0.01*((B8+B9)/B4)</f>
        <v>6.1295150313451098E-2</v>
      </c>
      <c r="D26">
        <f>(D8+D9+($L$40+$L$41)*D7)/D4</f>
        <v>0.8656367425259831</v>
      </c>
      <c r="E26" s="48">
        <f>(SQRT(SUMSQ(
(100*(E4/D4)),
(100*(SQRT(SUMSQ(E8,E9)))/(D8+D9))
)))
*0.01*((D8+D9)/D4)</f>
        <v>8.782697878435157E-2</v>
      </c>
      <c r="F26">
        <f>(F8+F9+($L$40+$L$41)*F7)/F4</f>
        <v>0.86686410070855702</v>
      </c>
      <c r="G26" s="48">
        <f>(SQRT(SUMSQ(
(100*(G4/F4)),
(100*(SQRT(SUMSQ(G8,G9)))/(F8+F9))
)))
*0.01*((F8+F9)/F4)</f>
        <v>0.14757454847911516</v>
      </c>
      <c r="H26">
        <f>(H8+H9+($L$40+$L$41)*H7)/H4</f>
        <v>0.8169048052386545</v>
      </c>
      <c r="I26" s="48">
        <f>(SQRT(SUMSQ(
(100*(I4/H4)),
(100*(SQRT(SUMSQ(I8,I9)))/(H8+H9))
)))
*0.01*((H8+H9)/H4)</f>
        <v>0.235250572095697</v>
      </c>
      <c r="J26">
        <f>(J8+J9+($L$40+$L$41)*J7)/J4</f>
        <v>0.80039436005163156</v>
      </c>
      <c r="K26" s="48">
        <f>(SQRT(SUMSQ(
(100*(K4/J4)),
(100*(SQRT(SUMSQ(K8,K9)))/(J8+J9))
)))
*0.01*((J8+J9)/J4)</f>
        <v>0.20254209258417991</v>
      </c>
      <c r="L26">
        <f>(L8+L9+($L$40+$L$41)*L7)/L4</f>
        <v>0.69538490244230877</v>
      </c>
      <c r="M26" s="48">
        <f>(SQRT(SUMSQ(
(100*(M4/L4)),
(100*(SQRT(SUMSQ(M8,M9)))/(L8+L9))
)))
*0.01*((L8+L9)/L4)</f>
        <v>0.1914895694572509</v>
      </c>
      <c r="O26">
        <f>(O8+O9+($L$40+$L$41)*O7)/O4</f>
        <v>0.80748165596041677</v>
      </c>
      <c r="P26" s="48">
        <f>(SQRT(SUMSQ(
(100*(P4/O4)),
(100*(SQRT(SUMSQ(P8,P9)))/(O8+O9))
)))
*0.01*((O8+O9)/O4)</f>
        <v>8.3848832523363018E-2</v>
      </c>
      <c r="S26">
        <f>(L40+L41)*(O85+O86)/(O85+O86)</f>
        <v>7.9814887604645793E-2</v>
      </c>
    </row>
    <row r="27" spans="1:21" x14ac:dyDescent="0.25">
      <c r="A27" s="2" t="s">
        <v>45</v>
      </c>
      <c r="B27">
        <f>(B12+B14*$L$38)/B11</f>
        <v>0.97434145620860901</v>
      </c>
      <c r="C27" s="48">
        <f>(SQRT(SUMSQ(
(100*C11/B11),
(100*C12/B12)
)))
*0.01*(B12/B11)</f>
        <v>8.9994018056815082E-3</v>
      </c>
      <c r="D27">
        <f>(D12+D14*$L$38)/D11</f>
        <v>0.96828474087768435</v>
      </c>
      <c r="E27" s="48">
        <f>(SQRT(SUMSQ(
(100*E11/D11),
(100*E12/D12)
)))
*0.01*(D12/D11)</f>
        <v>1.2453536796569842E-2</v>
      </c>
      <c r="F27">
        <f>(F12+F14*$L$38)/F11</f>
        <v>0.96749459364101609</v>
      </c>
      <c r="G27" s="48">
        <f>(SQRT(SUMSQ(
(100*G11/F11),
(100*G12/F12)
)))
*0.01*(F12/F11)</f>
        <v>2.4709614719450577E-2</v>
      </c>
      <c r="H27">
        <f>(H12+H14*$L$38)/H11</f>
        <v>0.93900412797393973</v>
      </c>
      <c r="I27" s="48">
        <f>(SQRT(SUMSQ(
(100*I11/H11),
(100*I12/H12)
)))
*0.01*(H12/H11)</f>
        <v>3.8906322316430736E-2</v>
      </c>
      <c r="J27">
        <f>(J12+J14*$L$38)/J11</f>
        <v>0.9461783333239665</v>
      </c>
      <c r="K27" s="48">
        <f>(SQRT(SUMSQ(
(100*K11/J11),
(100*K12/J12)
)))
*0.01*(J12/J11)</f>
        <v>4.8591198803415378E-2</v>
      </c>
      <c r="L27">
        <f>(L12+L14*$L$38)/L11</f>
        <v>0.87201180355080266</v>
      </c>
      <c r="M27" s="48">
        <f>(SQRT(SUMSQ(
(100*M11/L11),
(100*M12/L12)
)))
*0.01*(L12/L11)</f>
        <v>9.463694764864887E-2</v>
      </c>
      <c r="O27">
        <f>(O12+O14*$L$38)/O11</f>
        <v>0.94858564344848184</v>
      </c>
      <c r="P27" s="48">
        <f>(SQRT(SUMSQ(
(100*P11/O11),
(100*P12/O12)
)))
*0.01*(O12/O11)</f>
        <v>1.7816706913596578E-2</v>
      </c>
      <c r="S27">
        <f>(L38)*(O85+O86)/(O85+O86)</f>
        <v>0.32089791002943879</v>
      </c>
    </row>
    <row r="28" spans="1:21" x14ac:dyDescent="0.25">
      <c r="A28" s="2" t="s">
        <v>46</v>
      </c>
      <c r="B28">
        <f>(B19+B20*$L$39)/B17</f>
        <v>0.97608425843249658</v>
      </c>
      <c r="C28" s="48">
        <f>(SQRT(SUMSQ(
(100*C17/B17),
(100*C19/B19)
)))
*0.01*(B19/B17)</f>
        <v>3.8490415600287896E-2</v>
      </c>
      <c r="D28">
        <f>(D19+D20*$L$39)/D17</f>
        <v>0.96694530146550273</v>
      </c>
      <c r="E28" s="48">
        <f>(SQRT(SUMSQ(
(100*E17/D17),
(100*E19/D19)
)))
*0.01*(D19/D17)</f>
        <v>4.0489745651601516E-2</v>
      </c>
      <c r="F28">
        <f>(F19+F20*$L$39)/F17</f>
        <v>0.9344795448126052</v>
      </c>
      <c r="G28" s="48">
        <f>(SQRT(SUMSQ(
(100*G17/F17),
(100*G19/F19)
)))
*0.01*(F19/F17)</f>
        <v>5.6049905627672973E-2</v>
      </c>
      <c r="H28">
        <f>(H19+H20*$L$39)/H17</f>
        <v>0.88484589126753133</v>
      </c>
      <c r="I28" s="48">
        <f>(SQRT(SUMSQ(
(100*I17/H17),
(100*I19/H19)
)))
*0.01*(H19/H17)</f>
        <v>4.2976047977935937E-2</v>
      </c>
      <c r="J28">
        <f>(J19+J20*$L$39)/J17</f>
        <v>0.78697358746528712</v>
      </c>
      <c r="K28" s="48">
        <f>(SQRT(SUMSQ(
(100*K17/J17),
(100*K19/J19)
)))
*0.01*(J19/J17)</f>
        <v>5.2909056031938198E-2</v>
      </c>
      <c r="L28">
        <f>(L19+L20*$L$39)/L17</f>
        <v>0.65768476682465016</v>
      </c>
      <c r="M28" s="48">
        <f>(SQRT(SUMSQ(
(100*M17/L17),
(100*M19/L19)
)))
*0.01*(L19/L17)</f>
        <v>5.1802785987485216E-2</v>
      </c>
      <c r="O28">
        <f>(O19+O20*$L$39)/O17</f>
        <v>0.83547627145248526</v>
      </c>
      <c r="P28" s="48">
        <f>(SQRT(SUMSQ(
(100*P17/O17),
(100*P19/O19)
)))
*0.01*(O19/O17)</f>
        <v>2.4302539275081681E-2</v>
      </c>
      <c r="S28">
        <f>(L39)*(O85+O86)/(O85+O86)</f>
        <v>0.59928720236591548</v>
      </c>
    </row>
    <row r="29" spans="1:21" x14ac:dyDescent="0.25">
      <c r="F29" t="s">
        <v>76</v>
      </c>
    </row>
    <row r="30" spans="1:21" x14ac:dyDescent="0.25">
      <c r="A30" t="s">
        <v>114</v>
      </c>
      <c r="B30" s="46">
        <v>1</v>
      </c>
      <c r="C30" s="47">
        <f>B30</f>
        <v>1</v>
      </c>
      <c r="D30" s="45">
        <v>2</v>
      </c>
      <c r="E30" s="47">
        <f>D30</f>
        <v>2</v>
      </c>
      <c r="F30" s="45">
        <v>2.8</v>
      </c>
      <c r="G30" s="47">
        <f>F30</f>
        <v>2.8</v>
      </c>
      <c r="H30" s="45">
        <v>4</v>
      </c>
      <c r="I30" s="47">
        <f>H30</f>
        <v>4</v>
      </c>
      <c r="J30" s="45">
        <v>5.6</v>
      </c>
      <c r="K30" s="47">
        <f>J30</f>
        <v>5.6</v>
      </c>
      <c r="L30" s="45">
        <v>8</v>
      </c>
      <c r="M30" s="47">
        <f>L30</f>
        <v>8</v>
      </c>
      <c r="O30" t="s">
        <v>115</v>
      </c>
      <c r="Q30" t="s">
        <v>116</v>
      </c>
    </row>
    <row r="31" spans="1:21" x14ac:dyDescent="0.25">
      <c r="A31" s="2" t="s">
        <v>77</v>
      </c>
      <c r="B31">
        <f>(B9+B8)/(B8+B9+B15+B16+B21+B22+(B20+B14+B7)*($L$40+$L$41))</f>
        <v>0.79740415186027824</v>
      </c>
      <c r="C31" s="48">
        <f>SQRT(SUMSQ((100*(SQRT(SUMSQ(C8,C9,C15,C16,C21,C22)))/(B8+B9+B15+B16+B21+B22)),(100*(SQRT(SUMSQ(C8,C9)))/(B9+B8))))*0.01*((B8+B9)/(B8+B9+B15+B16+B21+B22))</f>
        <v>8.6540015763961253E-2</v>
      </c>
      <c r="D31">
        <f>(D9+D8)/(D8+D9+D15+D16+D21+D22+(D20+D14+D7)*($L$40+$L$41))</f>
        <v>0.81805904285259279</v>
      </c>
      <c r="E31" s="48">
        <f>SQRT(SUMSQ((100*(SQRT(SUMSQ(E8,E9,E15,E16,E21,E22)))/(D8+D9+D15+D16+D21+D22)),(100*(SQRT(SUMSQ(E8,E9)))/(D9+D8))))*0.01*((D8+D9)/(D8+D9+D15+D16+D21+D22))</f>
        <v>7.313874866178588E-2</v>
      </c>
      <c r="F31">
        <f>(F9+F8)/(F8+F9+F15+F16+F21+F22+(F20+F14+F7)*($L$40+$L$41))</f>
        <v>0.69780001926319224</v>
      </c>
      <c r="G31" s="48">
        <f>SQRT(SUMSQ((100*(SQRT(SUMSQ(G8,G9,G15,G16,G21,G22)))/(F8+F9+F15+F16+F21+F22)),(100*(SQRT(SUMSQ(G8,G9)))/(F9+F8))))*0.01*((F8+F9)/(F8+F9+F15+F16+F21+F22))</f>
        <v>0.1132371081281453</v>
      </c>
      <c r="H31">
        <f>(H9+H8)/(H8+H9+H15+H16+H21+H22+(H20+H14+H7)*($L$40+$L$41))</f>
        <v>0.56961028811793724</v>
      </c>
      <c r="I31" s="48">
        <f>SQRT(SUMSQ((100*(SQRT(SUMSQ(I8,I9,I15,I16,I21,I22)))/(H8+H9+H15+H16+H21+H22)),(100*(SQRT(SUMSQ(I8,I9)))/(H9+H8))))*0.01*((H8+H9)/(H8+H9+H15+H16+H21+H22))</f>
        <v>0.13658985511163588</v>
      </c>
      <c r="J31">
        <f>(J9+J8)/(J8+J9+J15+J16+J21+J22+(J20+J14+J7)*($L$40+$L$41))</f>
        <v>0.40160759867712359</v>
      </c>
      <c r="K31" s="48">
        <f>SQRT(SUMSQ((100*(SQRT(SUMSQ(K8,K9,K15,K16,K21,K22)))/(J8+J9+J15+J16+J21+J22)),(100*(SQRT(SUMSQ(K8,K9)))/(J9+J8))))*0.01*((J8+J9)/(J8+J9+J15+J16+J21+J22))</f>
        <v>5.3485298976828695E-2</v>
      </c>
      <c r="L31">
        <f>(L9+L8)/(L8+L9+L15+L16+L21+L22+(L20+L14+L7)*($L$40+$L$41))</f>
        <v>0.23783701798187318</v>
      </c>
      <c r="M31" s="48">
        <f>SQRT(SUMSQ((100*(SQRT(SUMSQ(M8,M9,M15,M16,M21,M22)))/(L8+L9+L15+L16+L21+L22)),(100*(SQRT(SUMSQ(M8,M9)))/(L9+L8))))*0.01*((L8+L9)/(L8+L9+L15+L16+L21+L22))</f>
        <v>6.7626883178902766E-2</v>
      </c>
      <c r="O31">
        <f>(O9+O8)/(O8+O9+O15+O16+O21+O22+(O20+O14+O7)*($L$40+$L$41))</f>
        <v>0.49890954375733382</v>
      </c>
      <c r="P31" s="48">
        <f>SQRT(SUMSQ((100*(SQRT(SUMSQ(P8,P9,P15,P16,P21,P22)))/(O8+O9+O15+O16+O21+O22)),(100*(SQRT(SUMSQ(P8,P9)))/(O9+O8))))*0.01*((O8+O9)/(O8+O9+O15+O16+O21+O22))</f>
        <v>4.2691250544965552E-2</v>
      </c>
      <c r="Q31">
        <f>(O9+O8)/(O8+O9+O15+O16+O21+O22+(O20+O14+O7)*($L$40+$L$41)+(L40+L41)*(O85+O86))</f>
        <v>0.39828427454004178</v>
      </c>
    </row>
    <row r="32" spans="1:21" x14ac:dyDescent="0.25">
      <c r="A32" s="2" t="s">
        <v>45</v>
      </c>
      <c r="B32">
        <f>B12/(B5+B12+B18+(B7+B14+B20)*$L$38)</f>
        <v>0.99320931971951609</v>
      </c>
      <c r="C32" s="48">
        <f>(SQRT(SUMSQ((100*((SQRT(SUMSQ(C5,C12,C18)))/(B5+B12+B18))),(100*C12/B12))))*(C12/(C5+C12+C18))*0.01</f>
        <v>2.8601017667337697E-3</v>
      </c>
      <c r="D32">
        <f>D12/(D5+D12+D18+(D7+D14+D20)*$L$38)</f>
        <v>0.98939781737201327</v>
      </c>
      <c r="E32" s="48">
        <f>(SQRT(SUMSQ((100*((SQRT(SUMSQ(E5,E12,E18)))/(D5+D12+D18))),(100*E12/D12))))*(E12/(E5+E12+E18))*0.01</f>
        <v>7.6170104622017704E-3</v>
      </c>
      <c r="F32">
        <f>F12/(F5+F12+F18+(F7+F14+F20)*$L$38)</f>
        <v>0.98300280976454513</v>
      </c>
      <c r="G32" s="48">
        <f>(SQRT(SUMSQ((100*((SQRT(SUMSQ(G5,G12,G18)))/(F5+F12+F18))),(100*G12/F12))))*(G12/(G5+G12+G18))*0.01</f>
        <v>2.3987837386964729E-2</v>
      </c>
      <c r="H32">
        <f>H12/(H5+H12+H18+(H7+H14+H20)*$L$38)</f>
        <v>0.95618165727334481</v>
      </c>
      <c r="I32" s="48">
        <f>(SQRT(SUMSQ((100*((SQRT(SUMSQ(I5,I12,I18)))/(H5+H12+H18))),(100*I12/H12))))*(I12/(I5+I12+I18))*0.01</f>
        <v>3.8563773607326053E-2</v>
      </c>
      <c r="J32">
        <f>J12/(J5+J12+J18+(J7+J14+J20)*$L$38)</f>
        <v>0.87755949020789548</v>
      </c>
      <c r="K32" s="48">
        <f>(SQRT(SUMSQ((100*((SQRT(SUMSQ(K5,K12,K18)))/(J5+J12+J18))),(100*K12/J12))))*(K12/(K5+K12+K18))*0.01</f>
        <v>2.757027922646639E-2</v>
      </c>
      <c r="L32">
        <f>L12/(L5+L12+L18+(L7+L14+L20)*$L$38)</f>
        <v>0.76085888719619799</v>
      </c>
      <c r="M32" s="48">
        <f>(SQRT(SUMSQ((100*((SQRT(SUMSQ(M5,M12,M18)))/(L5+L12+L18))),(100*M12/L12))))*(M12/(M5+M12+M18))*0.01</f>
        <v>6.9217001250976809E-2</v>
      </c>
      <c r="N32" t="str">
        <f>IF(V45=M32,"yes","no")</f>
        <v>no</v>
      </c>
      <c r="O32">
        <f>O12/(O5+O12+O18+(O7+O14+O20)*$L$38)</f>
        <v>0.93493637618402337</v>
      </c>
      <c r="P32" s="48">
        <f>(SQRT(SUMSQ((100*((SQRT(SUMSQ(P5,P12,P18)))/(O5+O12+O18))),(100*P12/O12))))*(P12/(P5+P12+P18))*0.01</f>
        <v>1.2654515040740461E-2</v>
      </c>
      <c r="Q32">
        <f>O12/(O5+O12+O18+(O7+O14+O20)*$L$38+(L38*(O85+O86)))</f>
        <v>0.82185716019606947</v>
      </c>
    </row>
    <row r="33" spans="1:17" x14ac:dyDescent="0.25">
      <c r="A33" s="2" t="s">
        <v>46</v>
      </c>
      <c r="B33">
        <f>B19/(B6+B13+B19+(B7+B14+B20)*$L$39)</f>
        <v>0.907726408853889</v>
      </c>
      <c r="C33" s="48">
        <f>(SQRT(SUMSQ((100*((SQRT(SUMSQ(C6,C13,C19)))/(B6+B13+B19))),(100*C19/B19))))*(C19/(C6+C13+C19))*0.01</f>
        <v>2.0842554676520644E-2</v>
      </c>
      <c r="D33">
        <f>D19/(D6+D13+D19+(D7+D14+D20)*$L$39)</f>
        <v>0.91618544570954286</v>
      </c>
      <c r="E33" s="48">
        <f>(SQRT(SUMSQ((100*((SQRT(SUMSQ(E6,E13,E19)))/(D6+D13+D19))),(100*E19/D19))))*(E19/(E6+E13+E19))*0.01</f>
        <v>2.9961386415558358E-2</v>
      </c>
      <c r="F33">
        <f>F19/(F6+F13+F19+(F7+F14+F20)*$L$39)</f>
        <v>0.91460401487866561</v>
      </c>
      <c r="G33" s="48">
        <f>(SQRT(SUMSQ((100*((SQRT(SUMSQ(G6,G13,G19)))/(F6+F13+F19))),(100*G19/F19))))*(G19/(G6+G13+G19))*0.01</f>
        <v>5.0041986129566979E-2</v>
      </c>
      <c r="H33">
        <f>H19/(H6+H13+H19+(H7+H14+H20)*$L$39)</f>
        <v>0.85521061515517427</v>
      </c>
      <c r="I33" s="48">
        <f>(SQRT(SUMSQ((100*((SQRT(SUMSQ(I6,I13,I19)))/(H6+H13+H19))),(100*I19/H19))))*(I19/(I6+I13+I19))*0.01</f>
        <v>2.5450909098413438E-2</v>
      </c>
      <c r="J33">
        <f>J19/(J6+J13+J19+(J7+J14+J20)*$L$39)</f>
        <v>0.85012176481518431</v>
      </c>
      <c r="K33" s="48">
        <f>(SQRT(SUMSQ((100*((SQRT(SUMSQ(K6,K13,K19)))/(J6+J13+J19))),(100*K19/J19))))*(K19/(K6+K13+K19))*0.01</f>
        <v>6.9659703449531929E-2</v>
      </c>
      <c r="L33">
        <f>L19/(L6+L13+L19+(L7+L14+L20)*$L$39)</f>
        <v>0.69224728220764331</v>
      </c>
      <c r="M33" s="48">
        <f>(SQRT(SUMSQ((100*((SQRT(SUMSQ(M6,M13,M19)))/(L6+L13+L19))),(100*M19/L19))))*(M19/(M6+M13+M19))*0.01</f>
        <v>6.8843834387532318E-2</v>
      </c>
      <c r="O33">
        <f>O19/(O6+O13+O19+(O7+O14+O20)*$L$39)</f>
        <v>0.85047490108781221</v>
      </c>
      <c r="P33" s="48">
        <f>(SQRT(SUMSQ((100*((SQRT(SUMSQ(P6,P13,P19)))/(O6+O13+O19))),(100*P19/O19))))*(P19/(P6+P13+P19))*0.01</f>
        <v>2.1559740756620524E-2</v>
      </c>
      <c r="Q33">
        <f>O19/(O6+O13+O19+(O7+O14+O20)*$L$39+L39*(O85+O86))</f>
        <v>0.58799404974712266</v>
      </c>
    </row>
    <row r="36" spans="1:17" x14ac:dyDescent="0.25">
      <c r="A36" s="41"/>
      <c r="B36" t="s">
        <v>62</v>
      </c>
    </row>
    <row r="37" spans="1:17" x14ac:dyDescent="0.25">
      <c r="A37" s="41"/>
      <c r="B37" t="s">
        <v>86</v>
      </c>
      <c r="C37" t="s">
        <v>63</v>
      </c>
      <c r="D37" t="s">
        <v>87</v>
      </c>
      <c r="E37" t="s">
        <v>63</v>
      </c>
      <c r="G37" t="s">
        <v>88</v>
      </c>
      <c r="I37" t="s">
        <v>89</v>
      </c>
      <c r="L37" t="str">
        <f>G37</f>
        <v>Cell Ratio</v>
      </c>
    </row>
    <row r="38" spans="1:17" x14ac:dyDescent="0.25">
      <c r="A38" s="41" t="s">
        <v>45</v>
      </c>
      <c r="B38">
        <f t="shared" ref="B38:E41" si="3">I83</f>
        <v>6.8723116639796729</v>
      </c>
      <c r="C38">
        <f t="shared" si="3"/>
        <v>0.57517838166696522</v>
      </c>
      <c r="D38">
        <f t="shared" si="3"/>
        <v>14.497390351681979</v>
      </c>
      <c r="E38">
        <f t="shared" si="3"/>
        <v>1.0475883963828356</v>
      </c>
      <c r="G38">
        <f>B38/SUM(B$38:B$41)</f>
        <v>0.32089791002943879</v>
      </c>
      <c r="H38">
        <f>SQRT((SQRT(SUMSQ(C$38:C$41))/SUM(B$38:B$41))^2+(C38/B38)^2)*G38</f>
        <v>2.9203761147455223E-2</v>
      </c>
      <c r="I38">
        <f>D38/SUM(D$38:D$41)</f>
        <v>0.40541991903080671</v>
      </c>
      <c r="J38">
        <f>SQRT((SQRT(SUMSQ(E$38:E$41))/SUM(D$38:D$41))^2+(E38/D38)^2)*I38</f>
        <v>3.6437771807060162E-2</v>
      </c>
      <c r="L38" s="42">
        <f>G38</f>
        <v>0.32089791002943879</v>
      </c>
      <c r="M38">
        <f>H38</f>
        <v>2.9203761147455223E-2</v>
      </c>
    </row>
    <row r="39" spans="1:17" x14ac:dyDescent="0.25">
      <c r="A39" s="41" t="s">
        <v>46</v>
      </c>
      <c r="B39">
        <f t="shared" si="3"/>
        <v>12.834263802201772</v>
      </c>
      <c r="C39">
        <f t="shared" si="3"/>
        <v>0.43436251671286236</v>
      </c>
      <c r="D39">
        <f t="shared" si="3"/>
        <v>18.414937334505634</v>
      </c>
      <c r="E39">
        <f t="shared" si="3"/>
        <v>0.9773853249481822</v>
      </c>
      <c r="G39">
        <f>B39/SUM(B$38:B$41)</f>
        <v>0.59928720236591548</v>
      </c>
      <c r="H39">
        <f>SQRT((SQRT(SUMSQ(C$38:C$41))/SUM(B$38:B$41))^2+(C39/B39)^2)*G39</f>
        <v>2.9497588824377183E-2</v>
      </c>
      <c r="I39">
        <f>D39/SUM(D$38:D$41)</f>
        <v>0.51497422791312775</v>
      </c>
      <c r="J39">
        <f>SQRT((SQRT(SUMSQ(E$38:E$41))/SUM(D$38:D$41))^2+(E39/D39)^2)*I39</f>
        <v>3.878838901978076E-2</v>
      </c>
      <c r="L39" s="42">
        <f t="shared" ref="L39:L41" si="4">G39</f>
        <v>0.59928720236591548</v>
      </c>
      <c r="M39">
        <f t="shared" ref="M39:M41" si="5">H39</f>
        <v>2.9497588824377183E-2</v>
      </c>
    </row>
    <row r="40" spans="1:17" x14ac:dyDescent="0.25">
      <c r="A40" s="41" t="s">
        <v>47</v>
      </c>
      <c r="B40">
        <f t="shared" si="3"/>
        <v>1.1385230625228857</v>
      </c>
      <c r="C40">
        <f t="shared" si="3"/>
        <v>0.19464863864399179</v>
      </c>
      <c r="D40">
        <f t="shared" si="3"/>
        <v>1.7269802221173025</v>
      </c>
      <c r="E40">
        <f t="shared" si="3"/>
        <v>0.89693888867909566</v>
      </c>
      <c r="G40">
        <f>B40/SUM(B$38:B$41)</f>
        <v>5.3162558560730426E-2</v>
      </c>
      <c r="H40">
        <f>SQRT((SQRT(SUMSQ(C$38:C$41))/SUM(B$38:B$41))^2+(C40/B40)^2)*G40</f>
        <v>9.2854536149910797E-3</v>
      </c>
      <c r="I40">
        <f>D40/SUM(D$38:D$41)</f>
        <v>4.8295049304330151E-2</v>
      </c>
      <c r="J40">
        <f>SQRT((SQRT(SUMSQ(E$38:E$41))/SUM(D$38:D$41))^2+(E40/D40)^2)*I40</f>
        <v>2.5215368555020028E-2</v>
      </c>
      <c r="L40" s="42">
        <f t="shared" si="4"/>
        <v>5.3162558560730426E-2</v>
      </c>
      <c r="M40">
        <f t="shared" si="5"/>
        <v>9.2854536149910797E-3</v>
      </c>
    </row>
    <row r="41" spans="1:17" x14ac:dyDescent="0.25">
      <c r="A41" s="41" t="s">
        <v>48</v>
      </c>
      <c r="B41">
        <f t="shared" si="3"/>
        <v>0.5707831245891275</v>
      </c>
      <c r="C41">
        <f t="shared" si="3"/>
        <v>0.16862300439467015</v>
      </c>
      <c r="D41">
        <f t="shared" si="3"/>
        <v>1.1196414455879888</v>
      </c>
      <c r="E41">
        <f t="shared" si="3"/>
        <v>0.89165295665411037</v>
      </c>
      <c r="G41">
        <f>B41/SUM(B$38:B$41)</f>
        <v>2.665232904391537E-2</v>
      </c>
      <c r="H41">
        <f>SQRT((SQRT(SUMSQ(C$38:C$41))/SUM(B$38:B$41))^2+(C41/B41)^2)*G41</f>
        <v>7.9311444186532711E-3</v>
      </c>
      <c r="I41">
        <f>D41/SUM(D$38:D$41)</f>
        <v>3.1310803751735478E-2</v>
      </c>
      <c r="J41">
        <f>SQRT((SQRT(SUMSQ(E$38:E$41))/SUM(D$38:D$41))^2+(E41/D41)^2)*I41</f>
        <v>2.4991185123365661E-2</v>
      </c>
      <c r="L41" s="42">
        <f t="shared" si="4"/>
        <v>2.665232904391537E-2</v>
      </c>
      <c r="M41">
        <f t="shared" si="5"/>
        <v>7.9311444186532711E-3</v>
      </c>
    </row>
    <row r="44" spans="1:17" x14ac:dyDescent="0.25">
      <c r="A44" s="53" t="s">
        <v>75</v>
      </c>
      <c r="B44" s="54">
        <f>B25</f>
        <v>1</v>
      </c>
      <c r="C44" s="55">
        <f>D25</f>
        <v>2</v>
      </c>
      <c r="D44" s="55">
        <f>F25</f>
        <v>2.8</v>
      </c>
      <c r="E44" s="55">
        <f>H25</f>
        <v>4</v>
      </c>
      <c r="F44" s="55">
        <f>J25</f>
        <v>5.6</v>
      </c>
      <c r="G44" s="55">
        <f>L25</f>
        <v>8</v>
      </c>
    </row>
    <row r="45" spans="1:17" x14ac:dyDescent="0.25">
      <c r="A45" s="2" t="str">
        <f>A26</f>
        <v>Insulators</v>
      </c>
      <c r="B45" s="51">
        <f>B26*100</f>
        <v>75.792689157877874</v>
      </c>
      <c r="C45" s="52">
        <f>D26*100</f>
        <v>86.563674252598304</v>
      </c>
      <c r="D45" s="52">
        <f>F26*100</f>
        <v>86.6864100708557</v>
      </c>
      <c r="E45" s="52">
        <f>H26*100</f>
        <v>81.690480523865446</v>
      </c>
      <c r="F45" s="52">
        <f>J26*100</f>
        <v>80.039436005163154</v>
      </c>
      <c r="G45" s="52">
        <f>L26*100</f>
        <v>69.538490244230871</v>
      </c>
      <c r="I45" s="52"/>
      <c r="J45" s="52">
        <f>O26*100</f>
        <v>80.748165596041673</v>
      </c>
    </row>
    <row r="46" spans="1:17" x14ac:dyDescent="0.25">
      <c r="A46" s="2" t="str">
        <f>A27</f>
        <v>Cathode</v>
      </c>
      <c r="B46" s="51">
        <f>B27*100</f>
        <v>97.434145620860903</v>
      </c>
      <c r="C46" s="52">
        <f>D27*100</f>
        <v>96.828474087768441</v>
      </c>
      <c r="D46" s="52">
        <f>F27*100</f>
        <v>96.749459364101611</v>
      </c>
      <c r="E46" s="52">
        <f>H27*100</f>
        <v>93.900412797393969</v>
      </c>
      <c r="F46" s="52">
        <f>J27*100</f>
        <v>94.617833332396657</v>
      </c>
      <c r="G46" s="52">
        <f>L27*100</f>
        <v>87.201180355080268</v>
      </c>
      <c r="J46" s="52">
        <f>O27*100</f>
        <v>94.85856434484819</v>
      </c>
      <c r="L46">
        <f>0.87*J46</f>
        <v>82.526950980017929</v>
      </c>
    </row>
    <row r="47" spans="1:17" x14ac:dyDescent="0.25">
      <c r="A47" s="2" t="str">
        <f>A28</f>
        <v>Anode</v>
      </c>
      <c r="B47" s="51">
        <f>B28*100</f>
        <v>97.608425843249663</v>
      </c>
      <c r="C47" s="52">
        <f>D28*100</f>
        <v>96.694530146550278</v>
      </c>
      <c r="D47" s="52">
        <f>F28*100</f>
        <v>93.447954481260524</v>
      </c>
      <c r="E47" s="52">
        <f>H28*100</f>
        <v>88.484589126753136</v>
      </c>
      <c r="F47" s="52">
        <f>J28*100</f>
        <v>78.697358746528707</v>
      </c>
      <c r="G47" s="52">
        <f>L28*100</f>
        <v>65.768476682465021</v>
      </c>
      <c r="J47" s="52">
        <f>O28*100</f>
        <v>83.547627145248526</v>
      </c>
    </row>
    <row r="48" spans="1:17" x14ac:dyDescent="0.25">
      <c r="B48" s="52"/>
      <c r="C48" s="52"/>
      <c r="D48" s="52"/>
      <c r="E48" s="52"/>
      <c r="F48" s="52"/>
      <c r="G48" s="52"/>
    </row>
    <row r="49" spans="1:12" x14ac:dyDescent="0.25">
      <c r="A49" s="53" t="s">
        <v>78</v>
      </c>
      <c r="B49" s="54">
        <f>B30</f>
        <v>1</v>
      </c>
      <c r="C49" s="55">
        <f>D30</f>
        <v>2</v>
      </c>
      <c r="D49" s="55">
        <f>F30</f>
        <v>2.8</v>
      </c>
      <c r="E49" s="55">
        <f>H30</f>
        <v>4</v>
      </c>
      <c r="F49" s="55">
        <f>J30</f>
        <v>5.6</v>
      </c>
      <c r="G49" s="55">
        <f>L30</f>
        <v>8</v>
      </c>
    </row>
    <row r="50" spans="1:12" x14ac:dyDescent="0.25">
      <c r="A50" s="2" t="str">
        <f>A31</f>
        <v>Insulators</v>
      </c>
      <c r="B50" s="51">
        <f>B31*100</f>
        <v>79.740415186027818</v>
      </c>
      <c r="C50" s="52">
        <f>D31*100</f>
        <v>81.805904285259274</v>
      </c>
      <c r="D50" s="52">
        <f>F31*100</f>
        <v>69.78000192631923</v>
      </c>
      <c r="E50" s="52">
        <f>H31*100</f>
        <v>56.961028811793724</v>
      </c>
      <c r="F50" s="52">
        <f>J31*100</f>
        <v>40.160759867712358</v>
      </c>
      <c r="G50" s="52">
        <f>L31*100</f>
        <v>23.783701798187316</v>
      </c>
      <c r="J50" s="52">
        <f>O31*100</f>
        <v>49.890954375733379</v>
      </c>
    </row>
    <row r="51" spans="1:12" x14ac:dyDescent="0.25">
      <c r="A51" s="2" t="str">
        <f>A32</f>
        <v>Cathode</v>
      </c>
      <c r="B51" s="51">
        <f t="shared" ref="B51:B52" si="6">B32*100</f>
        <v>99.320931971951609</v>
      </c>
      <c r="C51" s="52">
        <f>D32*100</f>
        <v>98.939781737201329</v>
      </c>
      <c r="D51" s="52">
        <f>F32*100</f>
        <v>98.300280976454516</v>
      </c>
      <c r="E51" s="52">
        <f>H32*100</f>
        <v>95.618165727334485</v>
      </c>
      <c r="F51" s="52">
        <f>J32*100</f>
        <v>87.755949020789544</v>
      </c>
      <c r="G51" s="52">
        <f>L32*100</f>
        <v>76.085888719619803</v>
      </c>
      <c r="J51" s="52">
        <f>O32*100</f>
        <v>93.493637618402332</v>
      </c>
      <c r="L51">
        <f>0.87*J51</f>
        <v>81.339464728010029</v>
      </c>
    </row>
    <row r="52" spans="1:12" x14ac:dyDescent="0.25">
      <c r="A52" s="2" t="str">
        <f>A33</f>
        <v>Anode</v>
      </c>
      <c r="B52" s="51">
        <f t="shared" si="6"/>
        <v>90.772640885388896</v>
      </c>
      <c r="C52" s="52">
        <f>D33*100</f>
        <v>91.618544570954285</v>
      </c>
      <c r="D52" s="52">
        <f>F33*100</f>
        <v>91.460401487866562</v>
      </c>
      <c r="E52" s="52">
        <f>H33*100</f>
        <v>85.521061515517431</v>
      </c>
      <c r="F52" s="52">
        <f>J33*100</f>
        <v>85.012176481518438</v>
      </c>
      <c r="G52" s="52">
        <f>L33*100</f>
        <v>69.224728220764334</v>
      </c>
      <c r="J52" s="52">
        <f>O33*100</f>
        <v>85.047490108781219</v>
      </c>
    </row>
    <row r="54" spans="1:12" x14ac:dyDescent="0.25">
      <c r="A54" s="53" t="s">
        <v>117</v>
      </c>
      <c r="B54" s="56">
        <f>C25</f>
        <v>1</v>
      </c>
      <c r="C54" s="56">
        <f>E25</f>
        <v>2</v>
      </c>
      <c r="D54" s="56">
        <f>G25</f>
        <v>2.8</v>
      </c>
      <c r="E54" s="56">
        <f>I25</f>
        <v>4</v>
      </c>
      <c r="F54" s="56">
        <f>K25</f>
        <v>5.6</v>
      </c>
      <c r="G54" s="56">
        <f>M25</f>
        <v>8</v>
      </c>
    </row>
    <row r="55" spans="1:12" x14ac:dyDescent="0.25">
      <c r="A55" s="2" t="str">
        <f>A26&amp;"-err"</f>
        <v>Insulators-err</v>
      </c>
      <c r="B55" s="40">
        <f>C26*100</f>
        <v>6.1295150313451101</v>
      </c>
      <c r="C55" s="40">
        <f>E26*100</f>
        <v>8.7826978784351564</v>
      </c>
      <c r="D55" s="40">
        <f>G26*100</f>
        <v>14.757454847911516</v>
      </c>
      <c r="E55" s="40">
        <f>I26*100</f>
        <v>23.525057209569699</v>
      </c>
      <c r="F55" s="40">
        <f>K26*100</f>
        <v>20.25420925841799</v>
      </c>
      <c r="G55" s="40">
        <f>M26*100</f>
        <v>19.148956945725089</v>
      </c>
    </row>
    <row r="56" spans="1:12" x14ac:dyDescent="0.25">
      <c r="A56" s="2" t="str">
        <f>A27&amp;"-err"</f>
        <v>Cathode-err</v>
      </c>
      <c r="B56" s="40">
        <f t="shared" ref="B56:B57" si="7">C27*100</f>
        <v>0.89994018056815084</v>
      </c>
      <c r="C56" s="40">
        <f>E27*100</f>
        <v>1.2453536796569842</v>
      </c>
      <c r="D56" s="40">
        <f>G27*100</f>
        <v>2.4709614719450577</v>
      </c>
      <c r="E56" s="40">
        <f>I27*100</f>
        <v>3.8906322316430737</v>
      </c>
      <c r="F56" s="40">
        <f>K27*100</f>
        <v>4.8591198803415381</v>
      </c>
      <c r="G56" s="40">
        <f>M27*100</f>
        <v>9.4636947648648864</v>
      </c>
    </row>
    <row r="57" spans="1:12" x14ac:dyDescent="0.25">
      <c r="A57" s="2" t="str">
        <f>A28&amp;"-err"</f>
        <v>Anode-err</v>
      </c>
      <c r="B57" s="40">
        <f t="shared" si="7"/>
        <v>3.8490415600287897</v>
      </c>
      <c r="C57" s="40">
        <f>E28*100</f>
        <v>4.0489745651601519</v>
      </c>
      <c r="D57" s="40">
        <f>G28*100</f>
        <v>5.6049905627672976</v>
      </c>
      <c r="E57" s="40">
        <f>I28*100</f>
        <v>4.2976047977935936</v>
      </c>
      <c r="F57" s="40">
        <f>K28*100</f>
        <v>5.2909056031938198</v>
      </c>
      <c r="G57" s="40">
        <f>M28*100</f>
        <v>5.1802785987485214</v>
      </c>
    </row>
    <row r="59" spans="1:12" x14ac:dyDescent="0.25">
      <c r="A59" s="53" t="s">
        <v>118</v>
      </c>
      <c r="B59" s="56">
        <f>C30</f>
        <v>1</v>
      </c>
      <c r="C59" s="56">
        <f>E30</f>
        <v>2</v>
      </c>
      <c r="D59" s="56">
        <f>G30</f>
        <v>2.8</v>
      </c>
      <c r="E59" s="56">
        <f>I30</f>
        <v>4</v>
      </c>
      <c r="F59" s="56">
        <f>K30</f>
        <v>5.6</v>
      </c>
      <c r="G59" s="56">
        <f>M30</f>
        <v>8</v>
      </c>
    </row>
    <row r="60" spans="1:12" x14ac:dyDescent="0.25">
      <c r="A60" s="2" t="str">
        <f>A31&amp;"-err"</f>
        <v>Insulators-err</v>
      </c>
      <c r="B60" s="40">
        <f>C31*100</f>
        <v>8.6540015763961247</v>
      </c>
      <c r="C60" s="40">
        <f>E31*100</f>
        <v>7.3138748661785877</v>
      </c>
      <c r="D60" s="40">
        <f>G31*100</f>
        <v>11.323710812814531</v>
      </c>
      <c r="E60" s="40">
        <f>I31*100</f>
        <v>13.658985511163587</v>
      </c>
      <c r="F60" s="40">
        <f>K31*100</f>
        <v>5.3485298976828695</v>
      </c>
      <c r="G60" s="40">
        <f>M31*100</f>
        <v>6.7626883178902766</v>
      </c>
    </row>
    <row r="61" spans="1:12" x14ac:dyDescent="0.25">
      <c r="A61" s="2" t="str">
        <f>A32&amp;"-err"</f>
        <v>Cathode-err</v>
      </c>
      <c r="B61" s="40">
        <f t="shared" ref="B61:B62" si="8">C32*100</f>
        <v>0.28601017667337697</v>
      </c>
      <c r="C61" s="40">
        <f>E32*100</f>
        <v>0.76170104622017698</v>
      </c>
      <c r="D61" s="40">
        <f>G32*100</f>
        <v>2.3987837386964728</v>
      </c>
      <c r="E61" s="40">
        <f>I32*100</f>
        <v>3.8563773607326053</v>
      </c>
      <c r="F61" s="40">
        <f>K32*100</f>
        <v>2.757027922646639</v>
      </c>
      <c r="G61" s="40">
        <f>M32*100</f>
        <v>6.9217001250976811</v>
      </c>
    </row>
    <row r="62" spans="1:12" x14ac:dyDescent="0.25">
      <c r="A62" s="2" t="str">
        <f>A33&amp;"-err"</f>
        <v>Anode-err</v>
      </c>
      <c r="B62" s="40">
        <f t="shared" si="8"/>
        <v>2.0842554676520644</v>
      </c>
      <c r="C62" s="40">
        <f>E33*100</f>
        <v>2.9961386415558358</v>
      </c>
      <c r="D62" s="40">
        <f>G33*100</f>
        <v>5.0041986129566975</v>
      </c>
      <c r="E62" s="40">
        <f>I33*100</f>
        <v>2.5450909098413437</v>
      </c>
      <c r="F62" s="40">
        <f>K33*100</f>
        <v>6.9659703449531927</v>
      </c>
      <c r="G62" s="40">
        <f>M33*100</f>
        <v>6.8843834387532317</v>
      </c>
    </row>
    <row r="64" spans="1:12" x14ac:dyDescent="0.25">
      <c r="A64" s="2" t="str">
        <f t="array" ref="A64:D70">TRANSPOSE(A44:G47)</f>
        <v>Grade</v>
      </c>
      <c r="B64" t="str">
        <v>Insulators</v>
      </c>
      <c r="C64" t="str">
        <v>Cathode</v>
      </c>
      <c r="D64" t="str">
        <v>Anode</v>
      </c>
      <c r="E64" t="str">
        <f t="array" ref="E64:G70">TRANSPOSE(A55:G57)</f>
        <v>Insulators-err</v>
      </c>
      <c r="F64" t="str">
        <v>Cathode-err</v>
      </c>
      <c r="G64" t="str">
        <v>Anode-err</v>
      </c>
      <c r="I64" t="s">
        <v>227</v>
      </c>
      <c r="J64" t="s">
        <v>77</v>
      </c>
      <c r="K64" t="s">
        <v>45</v>
      </c>
      <c r="L64" t="s">
        <v>46</v>
      </c>
    </row>
    <row r="65" spans="1:12" x14ac:dyDescent="0.25">
      <c r="A65" s="2">
        <v>1</v>
      </c>
      <c r="B65" s="40">
        <v>75.792689157877874</v>
      </c>
      <c r="C65" s="40">
        <v>97.434145620860903</v>
      </c>
      <c r="D65" s="40">
        <v>97.608425843249663</v>
      </c>
      <c r="E65" s="40">
        <v>6.1295150313451101</v>
      </c>
      <c r="F65" s="40">
        <v>0.89994018056815084</v>
      </c>
      <c r="G65" s="40">
        <v>3.8490415600287897</v>
      </c>
      <c r="I65" s="96" t="s">
        <v>224</v>
      </c>
      <c r="J65" t="str">
        <f>ROUND(B65,1)&amp;" ± "&amp;ROUND(E65,1)</f>
        <v>75.8 ± 6.1</v>
      </c>
      <c r="K65" t="str">
        <f>ROUND(C65,1)&amp;" ± "&amp;ROUND(F65,1)</f>
        <v>97.4 ± 0.9</v>
      </c>
      <c r="L65" t="str">
        <f>ROUND(D65,1)&amp;" ± "&amp;ROUND(G65,1)</f>
        <v>97.6 ± 3.8</v>
      </c>
    </row>
    <row r="66" spans="1:12" x14ac:dyDescent="0.25">
      <c r="A66" s="2">
        <v>2</v>
      </c>
      <c r="B66" s="40">
        <v>86.563674252598304</v>
      </c>
      <c r="C66" s="40">
        <v>96.828474087768441</v>
      </c>
      <c r="D66" s="40">
        <v>96.694530146550278</v>
      </c>
      <c r="E66" s="40">
        <v>8.7826978784351564</v>
      </c>
      <c r="F66" s="40">
        <v>1.2453536796569842</v>
      </c>
      <c r="G66" s="40">
        <v>4.0489745651601519</v>
      </c>
      <c r="I66" s="44" t="s">
        <v>223</v>
      </c>
      <c r="J66" t="str">
        <f t="shared" ref="J66:L70" si="9">ROUND(B66,1)&amp;" ± "&amp;ROUND(E66,1)</f>
        <v>86.6 ± 8.8</v>
      </c>
      <c r="K66" t="str">
        <f t="shared" si="9"/>
        <v>96.8 ± 1.2</v>
      </c>
      <c r="L66" t="str">
        <f t="shared" si="9"/>
        <v>96.7 ± 4</v>
      </c>
    </row>
    <row r="67" spans="1:12" x14ac:dyDescent="0.25">
      <c r="A67" s="2">
        <v>2.8</v>
      </c>
      <c r="B67" s="40">
        <v>86.6864100708557</v>
      </c>
      <c r="C67" s="40">
        <v>96.749459364101611</v>
      </c>
      <c r="D67" s="40">
        <v>93.447954481260524</v>
      </c>
      <c r="E67" s="40">
        <v>14.757454847911516</v>
      </c>
      <c r="F67" s="40">
        <v>2.4709614719450577</v>
      </c>
      <c r="G67" s="40">
        <v>5.6049905627672976</v>
      </c>
      <c r="I67" s="44" t="s">
        <v>222</v>
      </c>
      <c r="J67" t="str">
        <f t="shared" si="9"/>
        <v>86.7 ± 14.8</v>
      </c>
      <c r="K67" t="str">
        <f t="shared" si="9"/>
        <v>96.7 ± 2.5</v>
      </c>
      <c r="L67" t="str">
        <f t="shared" si="9"/>
        <v>93.4 ± 5.6</v>
      </c>
    </row>
    <row r="68" spans="1:12" x14ac:dyDescent="0.25">
      <c r="A68" s="2">
        <v>4</v>
      </c>
      <c r="B68" s="40">
        <v>81.690480523865446</v>
      </c>
      <c r="C68" s="40">
        <v>93.900412797393969</v>
      </c>
      <c r="D68" s="40">
        <v>88.484589126753136</v>
      </c>
      <c r="E68" s="40">
        <v>23.525057209569699</v>
      </c>
      <c r="F68" s="40">
        <v>3.8906322316430737</v>
      </c>
      <c r="G68" s="40">
        <v>4.2976047977935936</v>
      </c>
      <c r="I68" s="44" t="s">
        <v>221</v>
      </c>
      <c r="J68" t="str">
        <f t="shared" si="9"/>
        <v>81.7 ± 23.5</v>
      </c>
      <c r="K68" t="str">
        <f t="shared" si="9"/>
        <v>93.9 ± 3.9</v>
      </c>
      <c r="L68" t="str">
        <f t="shared" si="9"/>
        <v>88.5 ± 4.3</v>
      </c>
    </row>
    <row r="69" spans="1:12" x14ac:dyDescent="0.25">
      <c r="A69" s="2">
        <v>5.6</v>
      </c>
      <c r="B69" s="40">
        <v>80.039436005163154</v>
      </c>
      <c r="C69" s="40">
        <v>94.617833332396657</v>
      </c>
      <c r="D69" s="40">
        <v>78.697358746528707</v>
      </c>
      <c r="E69" s="40">
        <v>20.25420925841799</v>
      </c>
      <c r="F69" s="40">
        <v>4.8591198803415381</v>
      </c>
      <c r="G69" s="40">
        <v>5.2909056031938198</v>
      </c>
      <c r="I69" s="44" t="s">
        <v>220</v>
      </c>
      <c r="J69" t="str">
        <f t="shared" si="9"/>
        <v>80 ± 20.3</v>
      </c>
      <c r="K69" t="str">
        <f t="shared" si="9"/>
        <v>94.6 ± 4.9</v>
      </c>
      <c r="L69" t="str">
        <f t="shared" si="9"/>
        <v>78.7 ± 5.3</v>
      </c>
    </row>
    <row r="70" spans="1:12" x14ac:dyDescent="0.25">
      <c r="A70" s="2">
        <v>8</v>
      </c>
      <c r="B70" s="40">
        <v>69.538490244230871</v>
      </c>
      <c r="C70" s="40">
        <v>87.201180355080268</v>
      </c>
      <c r="D70" s="40">
        <v>65.768476682465021</v>
      </c>
      <c r="E70" s="40">
        <v>19.148956945725089</v>
      </c>
      <c r="F70" s="40">
        <v>9.4636947648648864</v>
      </c>
      <c r="G70" s="40">
        <v>5.1802785987485214</v>
      </c>
      <c r="I70" s="44" t="s">
        <v>219</v>
      </c>
      <c r="J70" t="str">
        <f t="shared" si="9"/>
        <v>69.5 ± 19.1</v>
      </c>
      <c r="K70" t="str">
        <f t="shared" si="9"/>
        <v>87.2 ± 9.5</v>
      </c>
      <c r="L70" t="str">
        <f t="shared" si="9"/>
        <v>65.8 ± 5.2</v>
      </c>
    </row>
    <row r="72" spans="1:12" x14ac:dyDescent="0.25">
      <c r="A72" s="2" t="str">
        <f t="array" ref="A72:D78">TRANSPOSE(A49:G52)</f>
        <v>Recovery</v>
      </c>
      <c r="B72" t="str">
        <v>Insulators</v>
      </c>
      <c r="C72" t="str">
        <v>Cathode</v>
      </c>
      <c r="D72" t="str">
        <v>Anode</v>
      </c>
      <c r="E72" t="str">
        <f t="array" ref="E72:G78">TRANSPOSE(A60:G62)</f>
        <v>Insulators-err</v>
      </c>
      <c r="F72" t="str">
        <v>Cathode-err</v>
      </c>
      <c r="G72" t="str">
        <v>Anode-err</v>
      </c>
      <c r="I72" t="s">
        <v>227</v>
      </c>
      <c r="J72" t="s">
        <v>77</v>
      </c>
      <c r="K72" t="s">
        <v>45</v>
      </c>
      <c r="L72" t="s">
        <v>46</v>
      </c>
    </row>
    <row r="73" spans="1:12" x14ac:dyDescent="0.25">
      <c r="A73" s="2">
        <v>1</v>
      </c>
      <c r="B73" s="40">
        <v>79.740415186027818</v>
      </c>
      <c r="C73" s="40">
        <v>99.320931971951609</v>
      </c>
      <c r="D73" s="40">
        <v>90.772640885388896</v>
      </c>
      <c r="E73" s="40">
        <v>8.6540015763961247</v>
      </c>
      <c r="F73" s="40">
        <v>0.28601017667337697</v>
      </c>
      <c r="G73" s="40">
        <v>2.0842554676520644</v>
      </c>
      <c r="I73" s="96" t="s">
        <v>224</v>
      </c>
      <c r="J73" t="str">
        <f>ROUND(B73,1)&amp;" ± "&amp;ROUND(E73,1)</f>
        <v>79.7 ± 8.7</v>
      </c>
      <c r="K73" t="str">
        <f>ROUND(C73,1)&amp;" ± "&amp;ROUND(F73,1)</f>
        <v>99.3 ± 0.3</v>
      </c>
      <c r="L73" t="str">
        <f>ROUND(D73,1)&amp;" ± "&amp;ROUND(G73,1)</f>
        <v>90.8 ± 2.1</v>
      </c>
    </row>
    <row r="74" spans="1:12" x14ac:dyDescent="0.25">
      <c r="A74" s="2">
        <v>2</v>
      </c>
      <c r="B74" s="40">
        <v>81.805904285259274</v>
      </c>
      <c r="C74" s="40">
        <v>98.939781737201329</v>
      </c>
      <c r="D74" s="40">
        <v>91.618544570954285</v>
      </c>
      <c r="E74" s="40">
        <v>7.3138748661785877</v>
      </c>
      <c r="F74" s="40">
        <v>0.76170104622017698</v>
      </c>
      <c r="G74" s="40">
        <v>2.9961386415558358</v>
      </c>
      <c r="I74" s="44" t="s">
        <v>223</v>
      </c>
      <c r="J74" t="str">
        <f t="shared" ref="J74:L78" si="10">ROUND(B74,1)&amp;" ± "&amp;ROUND(E74,1)</f>
        <v>81.8 ± 7.3</v>
      </c>
      <c r="K74" t="str">
        <f t="shared" si="10"/>
        <v>98.9 ± 0.8</v>
      </c>
      <c r="L74" t="str">
        <f t="shared" si="10"/>
        <v>91.6 ± 3</v>
      </c>
    </row>
    <row r="75" spans="1:12" x14ac:dyDescent="0.25">
      <c r="A75" s="2">
        <v>2.8</v>
      </c>
      <c r="B75" s="40">
        <v>69.78000192631923</v>
      </c>
      <c r="C75" s="40">
        <v>98.300280976454516</v>
      </c>
      <c r="D75" s="40">
        <v>91.460401487866562</v>
      </c>
      <c r="E75" s="40">
        <v>11.323710812814531</v>
      </c>
      <c r="F75" s="40">
        <v>2.3987837386964728</v>
      </c>
      <c r="G75" s="40">
        <v>5.0041986129566975</v>
      </c>
      <c r="I75" s="44" t="s">
        <v>222</v>
      </c>
      <c r="J75" t="str">
        <f t="shared" si="10"/>
        <v>69.8 ± 11.3</v>
      </c>
      <c r="K75" t="str">
        <f t="shared" si="10"/>
        <v>98.3 ± 2.4</v>
      </c>
      <c r="L75" t="str">
        <f t="shared" si="10"/>
        <v>91.5 ± 5</v>
      </c>
    </row>
    <row r="76" spans="1:12" x14ac:dyDescent="0.25">
      <c r="A76" s="2">
        <v>4</v>
      </c>
      <c r="B76" s="40">
        <v>56.961028811793724</v>
      </c>
      <c r="C76" s="40">
        <v>95.618165727334485</v>
      </c>
      <c r="D76" s="40">
        <v>85.521061515517431</v>
      </c>
      <c r="E76" s="40">
        <v>13.658985511163587</v>
      </c>
      <c r="F76" s="40">
        <v>3.8563773607326053</v>
      </c>
      <c r="G76" s="40">
        <v>2.5450909098413437</v>
      </c>
      <c r="I76" s="44" t="s">
        <v>221</v>
      </c>
      <c r="J76" t="str">
        <f t="shared" si="10"/>
        <v>57 ± 13.7</v>
      </c>
      <c r="K76" t="str">
        <f t="shared" si="10"/>
        <v>95.6 ± 3.9</v>
      </c>
      <c r="L76" t="str">
        <f t="shared" si="10"/>
        <v>85.5 ± 2.5</v>
      </c>
    </row>
    <row r="77" spans="1:12" x14ac:dyDescent="0.25">
      <c r="A77" s="2">
        <v>5.6</v>
      </c>
      <c r="B77" s="40">
        <v>40.160759867712358</v>
      </c>
      <c r="C77" s="40">
        <v>87.755949020789544</v>
      </c>
      <c r="D77" s="40">
        <v>85.012176481518438</v>
      </c>
      <c r="E77" s="40">
        <v>5.3485298976828695</v>
      </c>
      <c r="F77" s="40">
        <v>2.757027922646639</v>
      </c>
      <c r="G77" s="40">
        <v>6.9659703449531927</v>
      </c>
      <c r="I77" s="44" t="s">
        <v>220</v>
      </c>
      <c r="J77" t="str">
        <f t="shared" si="10"/>
        <v>40.2 ± 5.3</v>
      </c>
      <c r="K77" t="str">
        <f t="shared" si="10"/>
        <v>87.8 ± 2.8</v>
      </c>
      <c r="L77" t="str">
        <f t="shared" si="10"/>
        <v>85 ± 7</v>
      </c>
    </row>
    <row r="78" spans="1:12" x14ac:dyDescent="0.25">
      <c r="A78" s="2">
        <v>8</v>
      </c>
      <c r="B78" s="40">
        <v>23.783701798187316</v>
      </c>
      <c r="C78" s="40">
        <v>76.085888719619803</v>
      </c>
      <c r="D78" s="40">
        <v>69.224728220764334</v>
      </c>
      <c r="E78" s="40">
        <v>6.7626883178902766</v>
      </c>
      <c r="F78" s="40">
        <v>6.9217001250976811</v>
      </c>
      <c r="G78" s="40">
        <v>6.8843834387532317</v>
      </c>
      <c r="I78" s="44" t="s">
        <v>219</v>
      </c>
      <c r="J78" t="str">
        <f t="shared" si="10"/>
        <v>23.8 ± 6.8</v>
      </c>
      <c r="K78" t="str">
        <f t="shared" si="10"/>
        <v>76.1 ± 6.9</v>
      </c>
      <c r="L78" t="str">
        <f t="shared" si="10"/>
        <v>69.2 ± 6.9</v>
      </c>
    </row>
    <row r="82" spans="1:23" ht="15.75" thickBot="1" x14ac:dyDescent="0.3">
      <c r="B82" t="s">
        <v>57</v>
      </c>
      <c r="C82" t="s">
        <v>37</v>
      </c>
      <c r="D82" t="s">
        <v>58</v>
      </c>
      <c r="E82" s="16" t="s">
        <v>59</v>
      </c>
      <c r="F82" t="s">
        <v>60</v>
      </c>
      <c r="G82" t="s">
        <v>61</v>
      </c>
      <c r="I82" t="s">
        <v>119</v>
      </c>
      <c r="J82" t="s">
        <v>63</v>
      </c>
      <c r="K82" t="s">
        <v>64</v>
      </c>
      <c r="L82" t="s">
        <v>63</v>
      </c>
      <c r="N82" t="s">
        <v>120</v>
      </c>
      <c r="O82">
        <f>O3</f>
        <v>68.493961009015621</v>
      </c>
      <c r="Q82" t="s">
        <v>121</v>
      </c>
    </row>
    <row r="83" spans="1:23" ht="15.75" thickBot="1" x14ac:dyDescent="0.3">
      <c r="A83" s="2" t="str">
        <f>'R0030_LFP_Liberation'!A18</f>
        <v>Cathode</v>
      </c>
      <c r="B83">
        <f>'R0031_Gen2_Liberation'!D18</f>
        <v>0.45537040092393993</v>
      </c>
      <c r="C83">
        <f>B83*100</f>
        <v>45.537040092393994</v>
      </c>
      <c r="D83">
        <f>'R0031_Gen2_Liberation'!F18*100</f>
        <v>0</v>
      </c>
      <c r="E83">
        <f>C83</f>
        <v>45.537040092393994</v>
      </c>
      <c r="F83">
        <f>O5+O12+O18</f>
        <v>38.664728428414321</v>
      </c>
      <c r="G83">
        <f>SQRT(SUMSQ(C5,E5,G5,I5,K5,M5,C12,E12,G12,I12,K12,M12,C18,E18,G18,I18,K18,M18))</f>
        <v>0.57517838166696522</v>
      </c>
      <c r="I83">
        <f>E83-F83</f>
        <v>6.8723116639796729</v>
      </c>
      <c r="J83">
        <f>SQRT(SUMSQ(D83,G83))</f>
        <v>0.57517838166696522</v>
      </c>
      <c r="K83">
        <f>(E83/$E$91)*100-F83</f>
        <v>14.497390351681979</v>
      </c>
      <c r="L83">
        <f>SQRT((100*SQRT((D83/E83)^2+($E$92/$E$91)^2))^2+G83^2)</f>
        <v>1.0475883963828356</v>
      </c>
      <c r="N83" t="s">
        <v>56</v>
      </c>
      <c r="O83" s="33">
        <f>O5+O6+O8+O9+O12+O13+O15+O16+O18+O19+O21+O22</f>
        <v>64.241050646107098</v>
      </c>
      <c r="Q83">
        <f>K83/$K$91</f>
        <v>0.40541991903080671</v>
      </c>
      <c r="R83">
        <f>SQRT((SQRT(SUMSQ(L$83:L$86))/SUM(K$83:K$86))^2+(L83/K83)^2)*Q83</f>
        <v>3.6437771807060162E-2</v>
      </c>
      <c r="U83" s="79">
        <f>I83/SUM(I$83:I$86)</f>
        <v>0.32089791002943879</v>
      </c>
      <c r="W83" s="79">
        <f>K83/SUM(K$83:K$86)</f>
        <v>0.40541991903080671</v>
      </c>
    </row>
    <row r="84" spans="1:23" x14ac:dyDescent="0.25">
      <c r="A84" s="2" t="str">
        <f>'R0030_LFP_Liberation'!A19</f>
        <v>Anode</v>
      </c>
      <c r="B84">
        <f>'R0031_Gen2_Liberation'!D19</f>
        <v>0.33327833690810099</v>
      </c>
      <c r="C84">
        <f t="shared" ref="C84:C88" si="11">B84*100</f>
        <v>33.327833690810102</v>
      </c>
      <c r="D84">
        <f>'R0031_Gen2_Liberation'!F19*100</f>
        <v>0</v>
      </c>
      <c r="E84">
        <f>C84</f>
        <v>33.327833690810102</v>
      </c>
      <c r="F84">
        <f>O6+O13+O19</f>
        <v>20.493569888608331</v>
      </c>
      <c r="G84">
        <f>SQRT(SUMSQ(C6,E6,G6,I6,K6,M6,C13,E13,G13,I13,K13,M13,C19,E19,G19,I19,K19,M19))</f>
        <v>0.43436251671286236</v>
      </c>
      <c r="I84">
        <f>E84-F84</f>
        <v>12.834263802201772</v>
      </c>
      <c r="J84">
        <f>SQRT(SUMSQ(D84,G84))</f>
        <v>0.43436251671286236</v>
      </c>
      <c r="K84">
        <f>(E84/$E$91)*100-F84</f>
        <v>18.414937334505634</v>
      </c>
      <c r="L84">
        <f>SQRT((100*SQRT((D84/E84)^2+($E$92/$E$91)^2))^2+G84^2)</f>
        <v>0.9773853249481822</v>
      </c>
      <c r="N84" t="s">
        <v>69</v>
      </c>
      <c r="O84">
        <f>O7+O14+O20</f>
        <v>4.2508960739307735</v>
      </c>
      <c r="Q84">
        <f>K84/$K$91</f>
        <v>0.51497422791312775</v>
      </c>
      <c r="R84">
        <f>SQRT((SQRT(SUMSQ(L$83:L$86))/SUM(K$83:K$86))^2+(L84/K84)^2)*Q84</f>
        <v>3.878838901978076E-2</v>
      </c>
      <c r="U84" s="79">
        <f t="shared" ref="U84:W86" si="12">I84/SUM(I$83:I$86)</f>
        <v>0.59928720236591548</v>
      </c>
      <c r="W84" s="79">
        <f t="shared" si="12"/>
        <v>0.51497422791312775</v>
      </c>
    </row>
    <row r="85" spans="1:23" x14ac:dyDescent="0.25">
      <c r="A85" s="2" t="str">
        <f>'R0030_LFP_Liberation'!A20</f>
        <v>Pouch</v>
      </c>
      <c r="B85">
        <f>'R0031_Gen2_Liberation'!D20</f>
        <v>3.5142715723477977E-2</v>
      </c>
      <c r="C85">
        <f t="shared" si="11"/>
        <v>3.5142715723477975</v>
      </c>
      <c r="D85">
        <f>'R0031_Gen2_Liberation'!F20*100</f>
        <v>0</v>
      </c>
      <c r="E85">
        <f>C85</f>
        <v>3.5142715723477975</v>
      </c>
      <c r="F85">
        <f>O8+O15+O21</f>
        <v>2.3757485098249118</v>
      </c>
      <c r="G85">
        <f>SQRT(SUMSQ(C8,E8,G8,I8,K8,M8,C15,E15,G15,I15,K15,M15,C21,E21,G21,I21,K21,M21))</f>
        <v>0.19464863864399179</v>
      </c>
      <c r="I85">
        <f>E85-F85</f>
        <v>1.1385230625228857</v>
      </c>
      <c r="J85">
        <f>SQRT(SUMSQ(D85,G85))</f>
        <v>0.19464863864399179</v>
      </c>
      <c r="K85">
        <f>(E85/$E$91)*100-F85</f>
        <v>1.7269802221173025</v>
      </c>
      <c r="L85">
        <f>SQRT((100*SQRT((D85/E85)^2+($E$92/$E$91)^2))^2+G85^2)</f>
        <v>0.89693888867909566</v>
      </c>
      <c r="N85" t="s">
        <v>70</v>
      </c>
      <c r="O85" s="16">
        <f>'R0031_Gen2_Liberation'!$H$2</f>
        <v>1.2351924786704889</v>
      </c>
      <c r="Q85">
        <f>K85/$K$91</f>
        <v>4.8295049304330151E-2</v>
      </c>
      <c r="R85">
        <f>SQRT((SQRT(SUMSQ(L$83:L$86))/SUM(K$83:K$86))^2+(L85/K85)^2)*Q85</f>
        <v>2.5215368555020028E-2</v>
      </c>
      <c r="U85" s="79">
        <f t="shared" si="12"/>
        <v>5.3162558560730426E-2</v>
      </c>
      <c r="W85" s="79">
        <f t="shared" si="12"/>
        <v>4.8295049304330151E-2</v>
      </c>
    </row>
    <row r="86" spans="1:23" x14ac:dyDescent="0.25">
      <c r="A86" s="2" t="str">
        <f>'R0030_LFP_Liberation'!A21</f>
        <v>Separator</v>
      </c>
      <c r="B86">
        <f>'R0031_Gen2_Liberation'!D21</f>
        <v>3.2777869438486498E-2</v>
      </c>
      <c r="C86">
        <f t="shared" si="11"/>
        <v>3.2777869438486498</v>
      </c>
      <c r="D86">
        <f>'R0031_Gen2_Liberation'!F21*100</f>
        <v>0</v>
      </c>
      <c r="E86">
        <f>C86</f>
        <v>3.2777869438486498</v>
      </c>
      <c r="F86">
        <f>O9+O16+O22</f>
        <v>2.7070038192595223</v>
      </c>
      <c r="G86">
        <f>SQRT(SUMSQ(C9,E9,G9,I9,K9,M9,C16,E16,G16,I16,K16,M16,C22,E22,G22,I22,K22,M22))</f>
        <v>0.16862300439467015</v>
      </c>
      <c r="I86">
        <f>E86-F86</f>
        <v>0.5707831245891275</v>
      </c>
      <c r="J86">
        <f>SQRT(SUMSQ(D86,G86))</f>
        <v>0.16862300439467015</v>
      </c>
      <c r="K86">
        <f>(E86/$E$91)*100-F86</f>
        <v>1.1196414455879888</v>
      </c>
      <c r="L86">
        <f>SQRT((100*SQRT((D86/E86)^2+($E$92/$E$91)^2))^2+G86^2)</f>
        <v>0.89165295665411037</v>
      </c>
      <c r="N86" t="s">
        <v>71</v>
      </c>
      <c r="O86" s="16">
        <f>SUM('R0031_Gen2_Liberation'!$H$9,'R0031_Gen2_Liberation'!$H$10,'R0031_Gen2_Liberation'!$H$11)</f>
        <v>15.927778811714434</v>
      </c>
      <c r="Q86">
        <f>K86/$K$91</f>
        <v>3.1310803751735478E-2</v>
      </c>
      <c r="R86">
        <f>SQRT((SQRT(SUMSQ(L$83:L$86))/SUM(K$83:K$86))^2+(L86/K86)^2)*Q86</f>
        <v>2.4991185123365661E-2</v>
      </c>
      <c r="U86" s="79">
        <f t="shared" si="12"/>
        <v>2.665232904391537E-2</v>
      </c>
      <c r="W86" s="79">
        <f t="shared" si="12"/>
        <v>3.1310803751735478E-2</v>
      </c>
    </row>
    <row r="87" spans="1:23" x14ac:dyDescent="0.25">
      <c r="A87" s="2" t="str">
        <f>'R0030_LFP_Liberation'!A22</f>
        <v>Electrolyte</v>
      </c>
      <c r="B87">
        <f>'R0031_Gen2_Liberation'!D22</f>
        <v>0.1434306770059946</v>
      </c>
      <c r="C87">
        <f t="shared" si="11"/>
        <v>14.343067700599461</v>
      </c>
      <c r="D87">
        <f>'R0031_Gen2_Liberation'!F22*100</f>
        <v>0</v>
      </c>
    </row>
    <row r="88" spans="1:23" ht="15.75" thickBot="1" x14ac:dyDescent="0.3">
      <c r="A88" s="2" t="str">
        <f>'R0030_LFP_Liberation'!A23</f>
        <v>Whole</v>
      </c>
      <c r="B88">
        <f>'R0031_Gen2_Liberation'!D23</f>
        <v>1</v>
      </c>
      <c r="C88">
        <f t="shared" si="11"/>
        <v>100</v>
      </c>
      <c r="D88">
        <f>'R0031_Gen2_Liberation'!F23*100</f>
        <v>0</v>
      </c>
      <c r="N88" t="s">
        <v>122</v>
      </c>
      <c r="O88" s="16">
        <f>O86+O85+O82</f>
        <v>85.656932299400552</v>
      </c>
    </row>
    <row r="89" spans="1:23" ht="15.75" thickBot="1" x14ac:dyDescent="0.3">
      <c r="N89" t="s">
        <v>72</v>
      </c>
      <c r="O89" s="37">
        <f>SUM(O84:O86)</f>
        <v>21.413867364315696</v>
      </c>
    </row>
    <row r="90" spans="1:23" ht="15.75" thickBot="1" x14ac:dyDescent="0.3">
      <c r="I90" s="30"/>
      <c r="R90" s="16"/>
    </row>
    <row r="91" spans="1:23" ht="15.75" thickBot="1" x14ac:dyDescent="0.3">
      <c r="A91" s="2" t="s">
        <v>35</v>
      </c>
      <c r="E91" s="32">
        <f>SUM(E83:E86)</f>
        <v>85.656932299400552</v>
      </c>
      <c r="F91" s="35">
        <f>SUM(F83:F86)</f>
        <v>64.241050646107084</v>
      </c>
      <c r="I91" s="39">
        <f>SUM(I83:I86)</f>
        <v>21.415881653293457</v>
      </c>
      <c r="K91" s="39">
        <f>SUM(K83:K86)</f>
        <v>35.758949353892902</v>
      </c>
      <c r="N91" t="s">
        <v>73</v>
      </c>
      <c r="O91" s="31">
        <f>O89+O83</f>
        <v>85.65491801042279</v>
      </c>
    </row>
    <row r="92" spans="1:23" x14ac:dyDescent="0.25">
      <c r="A92" s="2" t="s">
        <v>63</v>
      </c>
      <c r="D92" t="s">
        <v>123</v>
      </c>
      <c r="E92">
        <f>F91/E91</f>
        <v>0.74998075370668693</v>
      </c>
      <c r="I92" t="str">
        <f>IF((ROUND(I91,J93)+ROUND(F91,J93))=ROUND(E91,J93),"ok","Something Wrong")</f>
        <v>ok</v>
      </c>
      <c r="K92" t="str">
        <f>IF(K91+F91=100,"ok","Something Wrong")</f>
        <v>ok</v>
      </c>
    </row>
    <row r="93" spans="1:23" x14ac:dyDescent="0.25">
      <c r="B93" s="16"/>
      <c r="H93" t="s">
        <v>124</v>
      </c>
      <c r="J93">
        <v>5</v>
      </c>
    </row>
  </sheetData>
  <mergeCells count="7">
    <mergeCell ref="O1:P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018D-A796-4156-BAC4-8734F57C88AE}">
  <sheetPr codeName="Sheet21"/>
  <dimension ref="A1:J23"/>
  <sheetViews>
    <sheetView workbookViewId="0"/>
  </sheetViews>
  <sheetFormatPr defaultRowHeight="15" x14ac:dyDescent="0.25"/>
  <cols>
    <col min="1" max="11" width="8.85546875" customWidth="1"/>
  </cols>
  <sheetData>
    <row r="1" spans="1:10" x14ac:dyDescent="0.25">
      <c r="A1" t="s">
        <v>28</v>
      </c>
      <c r="B1" t="str">
        <f>'R0030_LFP_Liberation'!B1</f>
        <v>Amount (g)</v>
      </c>
      <c r="C1" t="s">
        <v>30</v>
      </c>
      <c r="D1" t="s">
        <v>31</v>
      </c>
      <c r="E1" t="s">
        <v>32</v>
      </c>
      <c r="F1" t="s">
        <v>33</v>
      </c>
      <c r="G1" t="s">
        <v>27</v>
      </c>
      <c r="H1" t="s">
        <v>34</v>
      </c>
      <c r="I1" t="s">
        <v>215</v>
      </c>
    </row>
    <row r="2" spans="1:10" x14ac:dyDescent="0.25">
      <c r="A2">
        <v>11.2</v>
      </c>
      <c r="B2">
        <v>130.66</v>
      </c>
      <c r="C2">
        <f>B2/$B$13*100</f>
        <v>2.607588469613392</v>
      </c>
      <c r="D2" s="16">
        <f t="shared" ref="D2:D11" si="0">H2+D3</f>
        <v>83.926166021215707</v>
      </c>
      <c r="H2" s="16">
        <f t="shared" ref="H2:H11" si="1">(B2/$B$13)*$H$23*100</f>
        <v>2.1884490281578133</v>
      </c>
    </row>
    <row r="3" spans="1:10" x14ac:dyDescent="0.25">
      <c r="A3">
        <v>8</v>
      </c>
      <c r="B3">
        <v>385.34999999999997</v>
      </c>
      <c r="C3">
        <f t="shared" ref="C3:C11" si="2">B3/$B$13*100</f>
        <v>7.6904501512744572</v>
      </c>
      <c r="D3" s="16">
        <f t="shared" si="0"/>
        <v>81.737716993057887</v>
      </c>
      <c r="E3" s="16">
        <f>'R0025_Gen1_Averages'!L7+'R0025_Gen1_Averages'!L14+'R0025_Gen1_Averages'!L20</f>
        <v>54.920940186575699</v>
      </c>
      <c r="F3" s="16">
        <f t="shared" ref="F3:F8" si="3">100-E3</f>
        <v>45.079059813424301</v>
      </c>
      <c r="G3" s="16">
        <f>'R0025_Gen1_Averages'!M7+'R0025_Gen1_Averages'!M14+'R0025_Gen1_Averages'!M20</f>
        <v>14.050341758741183</v>
      </c>
      <c r="H3" s="16">
        <f t="shared" si="1"/>
        <v>6.4542999617374353</v>
      </c>
      <c r="I3">
        <f>H3/SUM($H$3:$H$8)*100</f>
        <v>9.3023536511768246</v>
      </c>
      <c r="J3" s="16"/>
    </row>
    <row r="4" spans="1:10" x14ac:dyDescent="0.25">
      <c r="A4">
        <v>5.6</v>
      </c>
      <c r="B4">
        <v>1200.9000000000001</v>
      </c>
      <c r="C4">
        <f t="shared" si="2"/>
        <v>23.966424255003233</v>
      </c>
      <c r="D4" s="16">
        <f t="shared" si="0"/>
        <v>75.283417031320454</v>
      </c>
      <c r="E4" s="16">
        <f>'R0025_Gen1_Averages'!J7+'R0025_Gen1_Averages'!J14+'R0025_Gen1_Averages'!J20</f>
        <v>31.141730943450874</v>
      </c>
      <c r="F4" s="16">
        <f t="shared" si="3"/>
        <v>68.858269056549119</v>
      </c>
      <c r="G4" s="16">
        <f>'R0025_Gen1_Averages'!K7+'R0025_Gen1_Averages'!K14+'R0025_Gen1_Averages'!K20</f>
        <v>5.0307649080384111</v>
      </c>
      <c r="H4" s="16">
        <f t="shared" si="1"/>
        <v>20.114101009602923</v>
      </c>
      <c r="I4">
        <f t="shared" ref="I4:I8" si="4">H4/SUM($H$3:$H$8)*100</f>
        <v>28.989740494870247</v>
      </c>
      <c r="J4" s="16"/>
    </row>
    <row r="5" spans="1:10" x14ac:dyDescent="0.25">
      <c r="A5">
        <v>4</v>
      </c>
      <c r="B5">
        <v>1131.1999999999998</v>
      </c>
      <c r="C5">
        <f t="shared" si="2"/>
        <v>22.575417701107213</v>
      </c>
      <c r="D5" s="16">
        <f t="shared" si="0"/>
        <v>55.169316021717535</v>
      </c>
      <c r="E5" s="16">
        <f>'R0025_Gen1_Averages'!H7+'R0025_Gen1_Averages'!H14+'R0025_Gen1_Averages'!H20</f>
        <v>12.795481729864219</v>
      </c>
      <c r="F5" s="16">
        <f t="shared" si="3"/>
        <v>87.204518270135779</v>
      </c>
      <c r="G5" s="16">
        <f>'R0025_Gen1_Averages'!I7+'R0025_Gen1_Averages'!I14+'R0025_Gen1_Averages'!I20</f>
        <v>2.2240644477606919</v>
      </c>
      <c r="H5" s="16">
        <f t="shared" si="1"/>
        <v>18.946682539814159</v>
      </c>
      <c r="I5">
        <f t="shared" si="4"/>
        <v>27.307181653590824</v>
      </c>
      <c r="J5" s="16"/>
    </row>
    <row r="6" spans="1:10" x14ac:dyDescent="0.25">
      <c r="A6">
        <v>2.8</v>
      </c>
      <c r="B6">
        <v>675.35</v>
      </c>
      <c r="C6">
        <f t="shared" si="2"/>
        <v>13.477995353998196</v>
      </c>
      <c r="D6" s="16">
        <f t="shared" si="0"/>
        <v>36.222633481903372</v>
      </c>
      <c r="E6" s="16">
        <f>'R0025_Gen1_Averages'!F7+'R0025_Gen1_Averages'!F14+'R0025_Gen1_Averages'!F20</f>
        <v>5.766144036871502</v>
      </c>
      <c r="F6" s="16">
        <f t="shared" si="3"/>
        <v>94.233855963128491</v>
      </c>
      <c r="G6" s="16">
        <f>'R0025_Gen1_Averages'!G7+'R0025_Gen1_Averages'!G14+'R0025_Gen1_Averages'!G20</f>
        <v>2.7387843169379336</v>
      </c>
      <c r="H6" s="16">
        <f t="shared" si="1"/>
        <v>11.311564757128266</v>
      </c>
      <c r="I6">
        <f t="shared" si="4"/>
        <v>16.302957151478576</v>
      </c>
      <c r="J6" s="16"/>
    </row>
    <row r="7" spans="1:10" x14ac:dyDescent="0.25">
      <c r="A7">
        <v>2</v>
      </c>
      <c r="B7">
        <v>377.15000000000003</v>
      </c>
      <c r="C7">
        <f t="shared" si="2"/>
        <v>7.5268023214043387</v>
      </c>
      <c r="D7" s="16">
        <f t="shared" si="0"/>
        <v>24.911068724775109</v>
      </c>
      <c r="E7" s="16">
        <f>'R0025_Gen1_Averages'!D7+'R0025_Gen1_Averages'!D14+'R0025_Gen1_Averages'!D20</f>
        <v>4.2568254691599696</v>
      </c>
      <c r="F7" s="16">
        <f t="shared" si="3"/>
        <v>95.743174530840037</v>
      </c>
      <c r="G7" s="16">
        <f>'R0025_Gen1_Averages'!E7+'R0025_Gen1_Averages'!E14+'R0025_Gen1_Averages'!E20</f>
        <v>1.6281341937828215</v>
      </c>
      <c r="H7" s="16">
        <f t="shared" si="1"/>
        <v>6.3169566123505234</v>
      </c>
      <c r="I7">
        <f t="shared" si="4"/>
        <v>9.1044055522027776</v>
      </c>
      <c r="J7" s="16"/>
    </row>
    <row r="8" spans="1:10" x14ac:dyDescent="0.25">
      <c r="A8">
        <v>1</v>
      </c>
      <c r="B8">
        <v>372.55</v>
      </c>
      <c r="C8">
        <f t="shared" si="2"/>
        <v>7.4349998802576849</v>
      </c>
      <c r="D8" s="16">
        <f t="shared" si="0"/>
        <v>18.594112112424586</v>
      </c>
      <c r="E8" s="16">
        <f>'R0025_Gen1_Averages'!B7+'R0025_Gen1_Averages'!B14+'R0025_Gen1_Averages'!B20</f>
        <v>0.84362155849259735</v>
      </c>
      <c r="F8" s="16">
        <f t="shared" si="3"/>
        <v>99.1563784415074</v>
      </c>
      <c r="G8" s="16">
        <f>'R0025_Gen1_Averages'!C7+'R0025_Gen1_Averages'!C14+'R0025_Gen1_Averages'!C20</f>
        <v>0.30081607517121201</v>
      </c>
      <c r="H8" s="16">
        <f t="shared" si="1"/>
        <v>6.2399103431822542</v>
      </c>
      <c r="I8">
        <f t="shared" si="4"/>
        <v>8.9933614966807482</v>
      </c>
      <c r="J8" s="16"/>
    </row>
    <row r="9" spans="1:10" x14ac:dyDescent="0.25">
      <c r="A9">
        <v>0.124</v>
      </c>
      <c r="B9">
        <v>588.54999999999995</v>
      </c>
      <c r="C9">
        <f t="shared" si="2"/>
        <v>11.74572320366571</v>
      </c>
      <c r="D9" s="16">
        <f t="shared" si="0"/>
        <v>12.354201769242332</v>
      </c>
      <c r="H9" s="16">
        <f t="shared" si="1"/>
        <v>9.8577351563009419</v>
      </c>
    </row>
    <row r="10" spans="1:10" x14ac:dyDescent="0.25">
      <c r="A10">
        <v>0.04</v>
      </c>
      <c r="B10">
        <v>98.3</v>
      </c>
      <c r="C10">
        <f t="shared" si="2"/>
        <v>1.9617782531991153</v>
      </c>
      <c r="D10" s="16">
        <f t="shared" si="0"/>
        <v>2.4964666129413904</v>
      </c>
      <c r="H10" s="16">
        <f t="shared" si="1"/>
        <v>1.6464452737479949</v>
      </c>
    </row>
    <row r="11" spans="1:10" x14ac:dyDescent="0.25">
      <c r="A11">
        <v>0</v>
      </c>
      <c r="B11">
        <v>50.75</v>
      </c>
      <c r="C11">
        <f t="shared" si="2"/>
        <v>1.0128204104766543</v>
      </c>
      <c r="D11" s="16">
        <f t="shared" si="0"/>
        <v>0.8500213391933954</v>
      </c>
      <c r="H11" s="16">
        <f t="shared" si="1"/>
        <v>0.8500213391933954</v>
      </c>
    </row>
    <row r="13" spans="1:10" x14ac:dyDescent="0.25">
      <c r="A13" t="s">
        <v>35</v>
      </c>
      <c r="B13">
        <f>SUM(B2:B11)</f>
        <v>5010.76</v>
      </c>
      <c r="C13">
        <f>SUM(C2:C11)</f>
        <v>99.999999999999986</v>
      </c>
      <c r="H13" s="38">
        <f>SUM(H2:H11)</f>
        <v>83.926166021215721</v>
      </c>
    </row>
    <row r="17" spans="1:8" x14ac:dyDescent="0.25">
      <c r="B17" t="s">
        <v>36</v>
      </c>
      <c r="C17" t="s">
        <v>27</v>
      </c>
      <c r="D17" t="s">
        <v>37</v>
      </c>
      <c r="E17" t="s">
        <v>38</v>
      </c>
      <c r="F17" t="s">
        <v>39</v>
      </c>
      <c r="G17" t="s">
        <v>40</v>
      </c>
    </row>
    <row r="18" spans="1:8" x14ac:dyDescent="0.25">
      <c r="A18" t="s">
        <v>45</v>
      </c>
      <c r="B18">
        <v>385.60000000000008</v>
      </c>
      <c r="C18">
        <v>1.9532024984624738</v>
      </c>
      <c r="D18" s="43">
        <f>B18/$B$23</f>
        <v>0.48695066509513396</v>
      </c>
      <c r="E18">
        <f t="shared" ref="E18:E23" si="5">(C18/B18)^2</f>
        <v>2.5657863587059782E-5</v>
      </c>
      <c r="F18" s="43">
        <f t="shared" ref="F18:F23" si="6">D18*SQRT(E18+$E$23)</f>
        <v>2.4698144445625624E-3</v>
      </c>
      <c r="G18" s="28">
        <f t="shared" ref="G18:G23" si="7">C18/B18</f>
        <v>5.0653591765105642E-3</v>
      </c>
      <c r="H18">
        <f>D18</f>
        <v>0.48695066509513396</v>
      </c>
    </row>
    <row r="19" spans="1:8" x14ac:dyDescent="0.25">
      <c r="A19" t="s">
        <v>46</v>
      </c>
      <c r="B19">
        <v>223.61666666666667</v>
      </c>
      <c r="C19">
        <v>0.98007936186594125</v>
      </c>
      <c r="D19" s="43">
        <f t="shared" ref="D19:D23" si="8">B19/$B$23</f>
        <v>0.2823918168041758</v>
      </c>
      <c r="E19">
        <f t="shared" si="5"/>
        <v>1.9209415453321358E-5</v>
      </c>
      <c r="F19" s="43">
        <f t="shared" si="6"/>
        <v>1.239849620185929E-3</v>
      </c>
      <c r="G19" s="28">
        <f t="shared" si="7"/>
        <v>4.3828547150597356E-3</v>
      </c>
      <c r="H19">
        <f>D19</f>
        <v>0.2823918168041758</v>
      </c>
    </row>
    <row r="20" spans="1:8" x14ac:dyDescent="0.25">
      <c r="A20" t="s">
        <v>47</v>
      </c>
      <c r="B20">
        <v>36.983333333333334</v>
      </c>
      <c r="C20">
        <v>6.2360956446231977E-2</v>
      </c>
      <c r="D20" s="43">
        <f t="shared" si="8"/>
        <v>4.6703990570803169E-2</v>
      </c>
      <c r="E20">
        <f t="shared" si="5"/>
        <v>2.8432394163966426E-6</v>
      </c>
      <c r="F20" s="43">
        <f t="shared" si="6"/>
        <v>7.9678894277721555E-5</v>
      </c>
      <c r="G20" s="28">
        <f t="shared" si="7"/>
        <v>1.6861908007092918E-3</v>
      </c>
      <c r="H20">
        <f>D20</f>
        <v>4.6703990570803169E-2</v>
      </c>
    </row>
    <row r="21" spans="1:8" x14ac:dyDescent="0.25">
      <c r="A21" t="s">
        <v>48</v>
      </c>
      <c r="B21">
        <v>18.383333333333336</v>
      </c>
      <c r="C21">
        <v>0.13123346456686372</v>
      </c>
      <c r="D21" s="43">
        <f t="shared" si="8"/>
        <v>2.3215187742044119E-2</v>
      </c>
      <c r="E21">
        <f t="shared" si="5"/>
        <v>5.0961319536515156E-5</v>
      </c>
      <c r="F21" s="43">
        <f t="shared" si="6"/>
        <v>1.6583616893898993E-4</v>
      </c>
      <c r="G21" s="28">
        <f t="shared" si="7"/>
        <v>7.1387197407178802E-3</v>
      </c>
      <c r="H21">
        <f>D21</f>
        <v>2.3215187742044119E-2</v>
      </c>
    </row>
    <row r="22" spans="1:8" x14ac:dyDescent="0.25">
      <c r="A22" t="s">
        <v>49</v>
      </c>
      <c r="B22">
        <v>127.28333333333335</v>
      </c>
      <c r="C22">
        <v>1.7441967269267946</v>
      </c>
      <c r="D22" s="43">
        <f t="shared" si="8"/>
        <v>0.16073833978784308</v>
      </c>
      <c r="E22">
        <f t="shared" si="5"/>
        <v>1.8777935973238825E-4</v>
      </c>
      <c r="F22" s="43">
        <f t="shared" si="6"/>
        <v>2.2030342879139782E-3</v>
      </c>
      <c r="G22" s="28">
        <f t="shared" si="7"/>
        <v>1.3703260916015146E-2</v>
      </c>
      <c r="H22" s="27" t="s">
        <v>50</v>
      </c>
    </row>
    <row r="23" spans="1:8" x14ac:dyDescent="0.25">
      <c r="A23" t="s">
        <v>51</v>
      </c>
      <c r="B23">
        <v>791.86666666666667</v>
      </c>
      <c r="C23">
        <v>0.20548046676563009</v>
      </c>
      <c r="D23" s="43">
        <f t="shared" si="8"/>
        <v>1</v>
      </c>
      <c r="E23">
        <f t="shared" si="5"/>
        <v>6.7334395166029538E-8</v>
      </c>
      <c r="F23" s="43">
        <f t="shared" si="6"/>
        <v>3.6697246535954042E-4</v>
      </c>
      <c r="G23" s="28">
        <f t="shared" si="7"/>
        <v>2.5948871876447642E-4</v>
      </c>
      <c r="H23" s="38">
        <f>SUM(H18:H21)</f>
        <v>0.83926166021215709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BFC5-BD2C-4D3F-977D-F1B96A6D67D6}">
  <sheetPr codeName="Sheet1"/>
  <dimension ref="A2:O113"/>
  <sheetViews>
    <sheetView zoomScale="40" zoomScaleNormal="40" workbookViewId="0">
      <selection activeCell="T36" sqref="T36"/>
    </sheetView>
  </sheetViews>
  <sheetFormatPr defaultRowHeight="15" x14ac:dyDescent="0.25"/>
  <cols>
    <col min="3" max="3" width="13.42578125" bestFit="1" customWidth="1"/>
    <col min="4" max="4" width="10.140625" bestFit="1" customWidth="1"/>
    <col min="5" max="5" width="10.140625" customWidth="1"/>
    <col min="6" max="6" width="10.28515625" bestFit="1" customWidth="1"/>
    <col min="7" max="7" width="10.28515625" customWidth="1"/>
    <col min="8" max="8" width="19.42578125" bestFit="1" customWidth="1"/>
    <col min="9" max="9" width="2.42578125" customWidth="1"/>
    <col min="10" max="10" width="18.7109375" customWidth="1"/>
    <col min="11" max="11" width="2.42578125" customWidth="1"/>
    <col min="12" max="12" width="11.28515625" bestFit="1" customWidth="1"/>
    <col min="13" max="13" width="2.42578125" customWidth="1"/>
    <col min="14" max="14" width="18.7109375" customWidth="1"/>
    <col min="15" max="15" width="9" bestFit="1" customWidth="1"/>
    <col min="16" max="16" width="2.140625" customWidth="1"/>
  </cols>
  <sheetData>
    <row r="2" spans="1:15" x14ac:dyDescent="0.25">
      <c r="A2" t="s">
        <v>125</v>
      </c>
      <c r="J2" t="s">
        <v>6</v>
      </c>
      <c r="L2" s="77" t="s">
        <v>126</v>
      </c>
      <c r="M2" s="16"/>
    </row>
    <row r="3" spans="1:15" ht="15.75" thickBot="1" x14ac:dyDescent="0.3">
      <c r="H3" t="s">
        <v>127</v>
      </c>
      <c r="I3" t="s">
        <v>128</v>
      </c>
      <c r="J3" s="16" t="s">
        <v>129</v>
      </c>
      <c r="L3" s="26" t="s">
        <v>130</v>
      </c>
      <c r="M3" s="16"/>
      <c r="N3" t="s">
        <v>131</v>
      </c>
      <c r="O3" t="s">
        <v>132</v>
      </c>
    </row>
    <row r="4" spans="1:15" x14ac:dyDescent="0.25">
      <c r="A4" t="s">
        <v>135</v>
      </c>
      <c r="B4" t="s">
        <v>136</v>
      </c>
      <c r="H4" t="s">
        <v>137</v>
      </c>
      <c r="I4" s="80"/>
      <c r="J4" s="81" t="s">
        <v>45</v>
      </c>
      <c r="K4" s="82" t="s">
        <v>133</v>
      </c>
      <c r="L4" s="83">
        <f>$F$31</f>
        <v>53.162118780096293</v>
      </c>
      <c r="M4" s="81" t="s">
        <v>134</v>
      </c>
      <c r="N4" s="82" t="s">
        <v>137</v>
      </c>
      <c r="O4" s="84" t="s">
        <v>138</v>
      </c>
    </row>
    <row r="5" spans="1:15" x14ac:dyDescent="0.25">
      <c r="A5" s="16">
        <f>'R0031_Gen2_Liberation'!A2</f>
        <v>11.2</v>
      </c>
      <c r="B5" s="16">
        <f>'R0031_Gen2_Liberation'!C2</f>
        <v>1.4420227826430498</v>
      </c>
      <c r="D5" s="16"/>
      <c r="I5" s="85"/>
      <c r="J5" s="16" t="s">
        <v>46</v>
      </c>
      <c r="K5" t="s">
        <v>133</v>
      </c>
      <c r="L5" s="26">
        <f>$F$32</f>
        <v>38.908507223113965</v>
      </c>
      <c r="M5" s="16" t="s">
        <v>134</v>
      </c>
      <c r="N5" t="s">
        <v>137</v>
      </c>
      <c r="O5" s="86" t="s">
        <v>139</v>
      </c>
    </row>
    <row r="6" spans="1:15" x14ac:dyDescent="0.25">
      <c r="A6" s="16">
        <f>'R0031_Gen2_Liberation'!A3</f>
        <v>8</v>
      </c>
      <c r="B6" s="16">
        <f>'R0031_Gen2_Liberation'!C3</f>
        <v>8.96161190491868</v>
      </c>
      <c r="D6" s="16"/>
      <c r="I6" s="85"/>
      <c r="J6" s="16" t="s">
        <v>47</v>
      </c>
      <c r="K6" t="s">
        <v>133</v>
      </c>
      <c r="L6" s="26">
        <f>$F$33</f>
        <v>4.1027287319422152</v>
      </c>
      <c r="M6" s="16" t="s">
        <v>134</v>
      </c>
      <c r="N6" t="s">
        <v>137</v>
      </c>
      <c r="O6" s="87" t="s">
        <v>140</v>
      </c>
    </row>
    <row r="7" spans="1:15" x14ac:dyDescent="0.25">
      <c r="A7" s="16">
        <f>'R0031_Gen2_Liberation'!A4</f>
        <v>5.6</v>
      </c>
      <c r="B7" s="16">
        <f>'R0031_Gen2_Liberation'!C4</f>
        <v>20.366102587739515</v>
      </c>
      <c r="D7" s="16"/>
      <c r="I7" s="85"/>
      <c r="J7" s="16" t="s">
        <v>48</v>
      </c>
      <c r="K7" t="s">
        <v>133</v>
      </c>
      <c r="L7" s="26">
        <f>$F$34</f>
        <v>3.8266452648475116</v>
      </c>
      <c r="M7" s="16" t="s">
        <v>134</v>
      </c>
      <c r="N7" t="s">
        <v>137</v>
      </c>
      <c r="O7" s="88" t="s">
        <v>141</v>
      </c>
    </row>
    <row r="8" spans="1:15" x14ac:dyDescent="0.25">
      <c r="A8" s="16">
        <f>'R0031_Gen2_Liberation'!A5</f>
        <v>4</v>
      </c>
      <c r="B8" s="16">
        <f>'R0031_Gen2_Liberation'!C5</f>
        <v>20.55047079739251</v>
      </c>
      <c r="D8" s="16"/>
      <c r="I8" s="85"/>
      <c r="J8" s="16" t="s">
        <v>49</v>
      </c>
      <c r="K8" t="s">
        <v>133</v>
      </c>
      <c r="L8" s="26">
        <f>$F$35</f>
        <v>16.744783306581056</v>
      </c>
      <c r="M8" s="16" t="s">
        <v>134</v>
      </c>
      <c r="N8" t="s">
        <v>137</v>
      </c>
      <c r="O8" s="89" t="s">
        <v>142</v>
      </c>
    </row>
    <row r="9" spans="1:15" x14ac:dyDescent="0.25">
      <c r="A9" s="16">
        <f>'R0031_Gen2_Liberation'!A6</f>
        <v>2.8</v>
      </c>
      <c r="B9" s="16">
        <f>'R0031_Gen2_Liberation'!C6</f>
        <v>14.38072035293343</v>
      </c>
      <c r="D9" s="16"/>
      <c r="I9" s="85"/>
      <c r="L9" s="26"/>
      <c r="M9" s="16"/>
      <c r="O9" s="90"/>
    </row>
    <row r="10" spans="1:15" x14ac:dyDescent="0.25">
      <c r="A10" s="16">
        <f>'R0031_Gen2_Liberation'!A7</f>
        <v>2</v>
      </c>
      <c r="B10" s="16">
        <f>'R0031_Gen2_Liberation'!C7</f>
        <v>7.9014946994139716</v>
      </c>
      <c r="D10" s="16"/>
      <c r="H10" t="s">
        <v>143</v>
      </c>
      <c r="I10" s="85"/>
      <c r="J10" t="s">
        <v>137</v>
      </c>
      <c r="K10" t="s">
        <v>133</v>
      </c>
      <c r="L10" s="26">
        <f>$F$37</f>
        <v>116.74478330658106</v>
      </c>
      <c r="M10" s="16" t="s">
        <v>134</v>
      </c>
      <c r="N10" t="s">
        <v>144</v>
      </c>
      <c r="O10" s="90"/>
    </row>
    <row r="11" spans="1:15" x14ac:dyDescent="0.25">
      <c r="A11" s="16">
        <f>'R0031_Gen2_Liberation'!A8</f>
        <v>1</v>
      </c>
      <c r="B11" s="16">
        <f>'R0031_Gen2_Liberation'!C8</f>
        <v>7.8027260156712979</v>
      </c>
      <c r="D11" s="16"/>
      <c r="I11" s="85"/>
      <c r="L11" s="26"/>
      <c r="M11" s="16"/>
      <c r="O11" s="90"/>
    </row>
    <row r="12" spans="1:15" x14ac:dyDescent="0.25">
      <c r="A12" s="16">
        <f>'R0031_Gen2_Liberation'!A9</f>
        <v>0.124</v>
      </c>
      <c r="B12" s="16">
        <f>'R0031_Gen2_Liberation'!C9</f>
        <v>12.359254625666688</v>
      </c>
      <c r="D12" s="16"/>
      <c r="H12" t="s">
        <v>145</v>
      </c>
      <c r="I12" s="85"/>
      <c r="J12" t="s">
        <v>144</v>
      </c>
      <c r="K12" t="s">
        <v>133</v>
      </c>
      <c r="L12" s="26">
        <f>$E$37</f>
        <v>100</v>
      </c>
      <c r="M12" s="16" t="s">
        <v>134</v>
      </c>
      <c r="N12" t="s">
        <v>146</v>
      </c>
      <c r="O12" s="90"/>
    </row>
    <row r="13" spans="1:15" x14ac:dyDescent="0.25">
      <c r="A13" s="16">
        <f>'R0031_Gen2_Liberation'!A10</f>
        <v>0.04</v>
      </c>
      <c r="B13" s="16">
        <f>'R0031_Gen2_Liberation'!C10</f>
        <v>2.8050306182919602</v>
      </c>
      <c r="D13" s="16"/>
      <c r="I13" s="85"/>
      <c r="J13" t="s">
        <v>144</v>
      </c>
      <c r="K13" t="s">
        <v>133</v>
      </c>
      <c r="L13" s="26">
        <f>$F$35</f>
        <v>16.744783306581056</v>
      </c>
      <c r="M13" s="16" t="s">
        <v>134</v>
      </c>
      <c r="N13" t="s">
        <v>147</v>
      </c>
      <c r="O13" s="90"/>
    </row>
    <row r="14" spans="1:15" x14ac:dyDescent="0.25">
      <c r="A14" s="16">
        <f>'R0031_Gen2_Liberation'!A11</f>
        <v>0</v>
      </c>
      <c r="B14" s="16">
        <f>'R0031_Gen2_Liberation'!C11</f>
        <v>3.4305656153288995</v>
      </c>
      <c r="D14" s="16"/>
      <c r="I14" s="85"/>
      <c r="L14" s="26"/>
      <c r="M14" s="16"/>
      <c r="O14" s="90"/>
    </row>
    <row r="15" spans="1:15" x14ac:dyDescent="0.25">
      <c r="B15" s="16">
        <f>SUM(B5:B14)</f>
        <v>100.00000000000001</v>
      </c>
      <c r="C15" s="16"/>
      <c r="H15" t="s">
        <v>148</v>
      </c>
      <c r="I15" s="85"/>
      <c r="J15" t="s">
        <v>146</v>
      </c>
      <c r="K15" t="s">
        <v>133</v>
      </c>
      <c r="L15" s="26">
        <f>SUM(B6:B11)</f>
        <v>79.963126358069402</v>
      </c>
      <c r="M15" s="16" t="s">
        <v>134</v>
      </c>
      <c r="N15" t="s">
        <v>149</v>
      </c>
      <c r="O15" s="90"/>
    </row>
    <row r="16" spans="1:15" x14ac:dyDescent="0.25">
      <c r="C16" s="16" t="s">
        <v>37</v>
      </c>
      <c r="D16" t="s">
        <v>27</v>
      </c>
      <c r="I16" s="85"/>
      <c r="J16" t="s">
        <v>146</v>
      </c>
      <c r="K16" t="s">
        <v>133</v>
      </c>
      <c r="L16" s="26">
        <f>SUM(B12:B14)</f>
        <v>18.594850859287547</v>
      </c>
      <c r="M16" s="16" t="s">
        <v>134</v>
      </c>
      <c r="N16" t="s">
        <v>150</v>
      </c>
      <c r="O16" s="90"/>
    </row>
    <row r="17" spans="1:15" x14ac:dyDescent="0.25">
      <c r="A17" s="16">
        <f>A6</f>
        <v>8</v>
      </c>
      <c r="B17" t="s">
        <v>77</v>
      </c>
      <c r="C17" s="16">
        <f>'R0031_Gen2_Total'!L4</f>
        <v>0.49983567775179255</v>
      </c>
      <c r="D17" s="16">
        <f>'R0031_Gen2_Total'!M4</f>
        <v>9.5491934663870959E-2</v>
      </c>
      <c r="I17" s="85"/>
      <c r="J17" t="s">
        <v>146</v>
      </c>
      <c r="K17" t="s">
        <v>133</v>
      </c>
      <c r="L17" s="26">
        <f>SUM(B5)</f>
        <v>1.4420227826430498</v>
      </c>
      <c r="M17" s="16" t="s">
        <v>134</v>
      </c>
      <c r="N17" t="s">
        <v>151</v>
      </c>
      <c r="O17" s="90"/>
    </row>
    <row r="18" spans="1:15" x14ac:dyDescent="0.25">
      <c r="A18" s="16">
        <f>A6</f>
        <v>8</v>
      </c>
      <c r="B18" t="s">
        <v>152</v>
      </c>
      <c r="C18" s="16">
        <f>'R0031_Gen2_Total'!L10</f>
        <v>8.4617762271668884</v>
      </c>
      <c r="D18" s="16">
        <f>'R0031_Gen2_Total'!M10</f>
        <v>9.5491934663870542E-2</v>
      </c>
      <c r="I18" s="85"/>
      <c r="L18" s="26"/>
      <c r="O18" s="90"/>
    </row>
    <row r="19" spans="1:15" x14ac:dyDescent="0.25">
      <c r="C19" s="16"/>
      <c r="H19" t="s">
        <v>154</v>
      </c>
      <c r="I19" s="85"/>
      <c r="J19" s="16" t="s">
        <v>149</v>
      </c>
      <c r="K19" t="s">
        <v>133</v>
      </c>
      <c r="L19" s="26">
        <f>'R0031_Gen2_Exc_Electrolyte'!$O$10</f>
        <v>76.020944743515358</v>
      </c>
      <c r="M19" s="16" t="s">
        <v>134</v>
      </c>
      <c r="N19" t="s">
        <v>152</v>
      </c>
      <c r="O19" s="90"/>
    </row>
    <row r="20" spans="1:15" x14ac:dyDescent="0.25">
      <c r="A20" s="16" t="s">
        <v>77</v>
      </c>
      <c r="B20" t="s">
        <v>45</v>
      </c>
      <c r="C20" s="16">
        <f>'R0031_Gen2_Total'!L5</f>
        <v>2.8356890527612186E-2</v>
      </c>
      <c r="I20" s="85"/>
      <c r="J20" s="16" t="s">
        <v>149</v>
      </c>
      <c r="K20" t="s">
        <v>133</v>
      </c>
      <c r="L20" s="26">
        <f>'R0031_Gen2_Exc_Electrolyte'!$O$4</f>
        <v>3.9421816145540562</v>
      </c>
      <c r="M20" s="16" t="s">
        <v>134</v>
      </c>
      <c r="N20" t="s">
        <v>77</v>
      </c>
      <c r="O20" s="90"/>
    </row>
    <row r="21" spans="1:15" x14ac:dyDescent="0.25">
      <c r="A21" s="16"/>
      <c r="B21" t="s">
        <v>46</v>
      </c>
      <c r="C21" s="16">
        <f>'R0031_Gen2_Total'!L6</f>
        <v>4.1972940765179628E-2</v>
      </c>
      <c r="I21" s="85"/>
      <c r="L21" s="26"/>
      <c r="M21" s="16"/>
      <c r="O21" s="90"/>
    </row>
    <row r="22" spans="1:15" x14ac:dyDescent="0.25">
      <c r="B22" t="s">
        <v>155</v>
      </c>
      <c r="C22" s="16">
        <f>'R0031_Gen2_Total'!L7</f>
        <v>8.9033892577459209E-2</v>
      </c>
      <c r="H22" t="s">
        <v>156</v>
      </c>
      <c r="I22" s="85"/>
      <c r="J22" t="s">
        <v>152</v>
      </c>
      <c r="K22" t="s">
        <v>133</v>
      </c>
      <c r="L22" s="26">
        <f>'R0031_Gen2_Exc_Electrolyte'!$O$11</f>
        <v>46.73206400989546</v>
      </c>
      <c r="M22" t="s">
        <v>134</v>
      </c>
      <c r="N22" s="16" t="s">
        <v>17</v>
      </c>
      <c r="O22" s="90"/>
    </row>
    <row r="23" spans="1:15" x14ac:dyDescent="0.25">
      <c r="B23" t="s">
        <v>47</v>
      </c>
      <c r="C23" s="16">
        <f>'R0031_Gen2_Total'!L8</f>
        <v>5.5854949290384932E-2</v>
      </c>
      <c r="I23" s="85"/>
      <c r="J23" t="s">
        <v>152</v>
      </c>
      <c r="K23" t="s">
        <v>133</v>
      </c>
      <c r="L23" s="26">
        <f>'R0031_Gen2_Exc_Electrolyte'!$O$17</f>
        <v>29.288880733619894</v>
      </c>
      <c r="M23" t="s">
        <v>134</v>
      </c>
      <c r="N23" s="16" t="s">
        <v>157</v>
      </c>
      <c r="O23" s="90"/>
    </row>
    <row r="24" spans="1:15" x14ac:dyDescent="0.25">
      <c r="B24" t="s">
        <v>48</v>
      </c>
      <c r="C24" s="16">
        <f>'R0031_Gen2_Total'!L9</f>
        <v>0.28461700459115663</v>
      </c>
      <c r="I24" s="85"/>
      <c r="L24" s="26"/>
      <c r="O24" s="90"/>
    </row>
    <row r="25" spans="1:15" x14ac:dyDescent="0.25">
      <c r="A25" t="s">
        <v>152</v>
      </c>
      <c r="B25" t="s">
        <v>17</v>
      </c>
      <c r="C25" s="16">
        <f>'R0031_Gen2_Total'!L11</f>
        <v>3.5957342079526708</v>
      </c>
      <c r="H25" t="s">
        <v>159</v>
      </c>
      <c r="I25" s="85"/>
      <c r="J25" t="s">
        <v>17</v>
      </c>
      <c r="K25" t="s">
        <v>133</v>
      </c>
      <c r="L25" s="26">
        <f>'R0031_Gen2_Exc_Electrolyte'!$O$12</f>
        <v>43.691047783854742</v>
      </c>
      <c r="M25" t="s">
        <v>134</v>
      </c>
      <c r="N25" s="16" t="s">
        <v>160</v>
      </c>
      <c r="O25" s="90">
        <f>L25/SUM(L25:L29)</f>
        <v>0.93497360692896048</v>
      </c>
    </row>
    <row r="26" spans="1:15" x14ac:dyDescent="0.25">
      <c r="A26" t="s">
        <v>152</v>
      </c>
      <c r="B26" t="s">
        <v>18</v>
      </c>
      <c r="C26" s="16">
        <f>'R0031_Gen2_Total'!L17</f>
        <v>4.8660420192142162</v>
      </c>
      <c r="I26" s="85"/>
      <c r="J26" t="s">
        <v>17</v>
      </c>
      <c r="K26" t="s">
        <v>133</v>
      </c>
      <c r="L26" s="26">
        <f>'R0031_Gen2_Exc_Electrolyte'!$O$13</f>
        <v>0.76598164910287692</v>
      </c>
      <c r="M26" t="s">
        <v>134</v>
      </c>
      <c r="N26" s="16" t="s">
        <v>161</v>
      </c>
      <c r="O26" s="90"/>
    </row>
    <row r="27" spans="1:15" x14ac:dyDescent="0.25">
      <c r="I27" s="85"/>
      <c r="J27" t="s">
        <v>17</v>
      </c>
      <c r="K27" t="s">
        <v>133</v>
      </c>
      <c r="L27" s="26">
        <f>'R0031_Gen2_Exc_Electrolyte'!$O$14</f>
        <v>1.9891598065846177</v>
      </c>
      <c r="M27" t="s">
        <v>134</v>
      </c>
      <c r="N27" s="16" t="s">
        <v>163</v>
      </c>
      <c r="O27" s="90"/>
    </row>
    <row r="28" spans="1:15" x14ac:dyDescent="0.25">
      <c r="I28" s="85"/>
      <c r="J28" t="s">
        <v>17</v>
      </c>
      <c r="K28" t="s">
        <v>133</v>
      </c>
      <c r="L28" s="26">
        <f>'R0031_Gen2_Exc_Electrolyte'!$O$15</f>
        <v>0.19881916398455163</v>
      </c>
      <c r="M28" t="s">
        <v>134</v>
      </c>
      <c r="N28" s="16" t="s">
        <v>164</v>
      </c>
      <c r="O28" s="90"/>
    </row>
    <row r="29" spans="1:15" x14ac:dyDescent="0.25">
      <c r="I29" s="85"/>
      <c r="J29" t="s">
        <v>17</v>
      </c>
      <c r="K29" t="s">
        <v>133</v>
      </c>
      <c r="L29" s="26">
        <f>'R0031_Gen2_Exc_Electrolyte'!$O$16</f>
        <v>8.470402906640416E-2</v>
      </c>
      <c r="M29" t="s">
        <v>134</v>
      </c>
      <c r="N29" s="16" t="s">
        <v>165</v>
      </c>
      <c r="O29" s="90"/>
    </row>
    <row r="30" spans="1:15" x14ac:dyDescent="0.25">
      <c r="B30" t="s">
        <v>166</v>
      </c>
      <c r="D30" t="s">
        <v>167</v>
      </c>
      <c r="E30" t="s">
        <v>168</v>
      </c>
      <c r="F30" t="s">
        <v>169</v>
      </c>
      <c r="I30" s="85"/>
      <c r="L30" s="26"/>
      <c r="O30" s="90"/>
    </row>
    <row r="31" spans="1:15" x14ac:dyDescent="0.25">
      <c r="A31" s="16" t="s">
        <v>45</v>
      </c>
      <c r="B31" s="26">
        <f>'R0031_Gen2_Total'!C26</f>
        <v>45.537040092393994</v>
      </c>
      <c r="D31" s="26">
        <f>B31/100</f>
        <v>0.45537040092393993</v>
      </c>
      <c r="E31">
        <f>100*B31/SUM($B$31:$B$34)</f>
        <v>53.162118780096293</v>
      </c>
      <c r="F31">
        <f>100*B31/SUM($B$31:$B$34)</f>
        <v>53.162118780096293</v>
      </c>
      <c r="I31" s="85"/>
      <c r="J31" s="16" t="s">
        <v>157</v>
      </c>
      <c r="K31" t="s">
        <v>133</v>
      </c>
      <c r="L31" s="26">
        <f>'R0031_Gen2_Exc_Electrolyte'!$O$18</f>
        <v>1.2612879656386633</v>
      </c>
      <c r="M31" t="s">
        <v>134</v>
      </c>
      <c r="N31" s="16" t="s">
        <v>171</v>
      </c>
    </row>
    <row r="32" spans="1:15" x14ac:dyDescent="0.25">
      <c r="A32" s="16" t="s">
        <v>46</v>
      </c>
      <c r="B32" s="26">
        <f>'R0031_Gen2_Total'!C27</f>
        <v>33.327833690810102</v>
      </c>
      <c r="D32" s="26">
        <f>B32/100</f>
        <v>0.33327833690810105</v>
      </c>
      <c r="E32">
        <f>100*B32/SUM($B$31:$B$34)</f>
        <v>38.908507223113965</v>
      </c>
      <c r="F32">
        <f>100*B32/SUM($B$31:$B$34)</f>
        <v>38.908507223113965</v>
      </c>
      <c r="I32" s="85"/>
      <c r="J32" s="16" t="s">
        <v>157</v>
      </c>
      <c r="K32" t="s">
        <v>133</v>
      </c>
      <c r="L32" s="26">
        <f>'R0031_Gen2_Exc_Electrolyte'!$O$19</f>
        <v>22.877142089252089</v>
      </c>
      <c r="M32" t="s">
        <v>134</v>
      </c>
      <c r="N32" s="16" t="s">
        <v>172</v>
      </c>
      <c r="O32" s="90">
        <f>L32/SUM($L$31:$L$35)</f>
        <v>0.78108625240131002</v>
      </c>
    </row>
    <row r="33" spans="1:15" x14ac:dyDescent="0.25">
      <c r="A33" s="16" t="s">
        <v>47</v>
      </c>
      <c r="B33" s="26">
        <f>'R0031_Gen2_Total'!C28</f>
        <v>3.5142715723477975</v>
      </c>
      <c r="D33" s="26">
        <f>B33/100</f>
        <v>3.5142715723477977E-2</v>
      </c>
      <c r="E33">
        <f>100*B33/SUM($B$31:$B$34)</f>
        <v>4.1027287319422152</v>
      </c>
      <c r="F33">
        <f>100*B33/SUM($B$31:$B$34)</f>
        <v>4.1027287319422152</v>
      </c>
      <c r="I33" s="85"/>
      <c r="J33" s="16" t="s">
        <v>157</v>
      </c>
      <c r="K33" t="s">
        <v>133</v>
      </c>
      <c r="L33" s="26">
        <f>'R0031_Gen2_Exc_Electrolyte'!$O$20</f>
        <v>2.6581958947231246</v>
      </c>
      <c r="M33" t="s">
        <v>134</v>
      </c>
      <c r="N33" s="16" t="s">
        <v>174</v>
      </c>
      <c r="O33" s="90">
        <f>L33/SUM($L$31:$L$35)</f>
        <v>9.0757851721928587E-2</v>
      </c>
    </row>
    <row r="34" spans="1:15" x14ac:dyDescent="0.25">
      <c r="A34" s="16" t="s">
        <v>48</v>
      </c>
      <c r="B34" s="26">
        <f>'R0031_Gen2_Total'!C29</f>
        <v>3.2777869438486498</v>
      </c>
      <c r="D34" s="26">
        <f>B34/100</f>
        <v>3.2777869438486498E-2</v>
      </c>
      <c r="E34">
        <f>100*B34/SUM($B$31:$B$34)</f>
        <v>3.8266452648475116</v>
      </c>
      <c r="F34">
        <f>100*B34/SUM($B$31:$B$34)</f>
        <v>3.8266452648475116</v>
      </c>
      <c r="I34" s="85"/>
      <c r="J34" s="16" t="s">
        <v>157</v>
      </c>
      <c r="K34" t="s">
        <v>133</v>
      </c>
      <c r="L34" s="26">
        <f>'R0031_Gen2_Exc_Electrolyte'!$O$21</f>
        <v>2.2024437638132435</v>
      </c>
      <c r="M34" t="s">
        <v>134</v>
      </c>
      <c r="N34" s="16" t="s">
        <v>175</v>
      </c>
      <c r="O34" s="90">
        <f>L34/SUM($L$31:$L$35)</f>
        <v>7.5197266288333092E-2</v>
      </c>
    </row>
    <row r="35" spans="1:15" x14ac:dyDescent="0.25">
      <c r="A35" s="16" t="s">
        <v>49</v>
      </c>
      <c r="B35" s="26">
        <f>'R0031_Gen2_Total'!C30</f>
        <v>14.343067700599461</v>
      </c>
      <c r="F35">
        <f>100*B35/SUM($B$31:$B$34)</f>
        <v>16.744783306581056</v>
      </c>
      <c r="I35" s="85"/>
      <c r="J35" s="16" t="s">
        <v>157</v>
      </c>
      <c r="K35" t="s">
        <v>133</v>
      </c>
      <c r="L35" s="26">
        <f>'R0031_Gen2_Exc_Electrolyte'!$O$22</f>
        <v>0.2898110201927695</v>
      </c>
      <c r="M35" t="s">
        <v>134</v>
      </c>
      <c r="N35" s="16" t="s">
        <v>176</v>
      </c>
      <c r="O35" s="90"/>
    </row>
    <row r="36" spans="1:15" x14ac:dyDescent="0.25">
      <c r="I36" s="85"/>
      <c r="L36" s="26"/>
      <c r="M36" s="16"/>
      <c r="O36" s="90"/>
    </row>
    <row r="37" spans="1:15" x14ac:dyDescent="0.25">
      <c r="A37" s="16" t="s">
        <v>35</v>
      </c>
      <c r="B37" s="26">
        <f>SUM(B31:B35)</f>
        <v>100.00000000000001</v>
      </c>
      <c r="D37" s="26">
        <f>SUM(D31:D35)</f>
        <v>0.85656932299400546</v>
      </c>
      <c r="E37" s="26">
        <f>SUM(E31:E35)</f>
        <v>100</v>
      </c>
      <c r="F37" s="26">
        <f>SUM(F31:F35)</f>
        <v>116.74478330658106</v>
      </c>
      <c r="I37" s="85"/>
      <c r="J37" s="16" t="s">
        <v>77</v>
      </c>
      <c r="K37" t="s">
        <v>133</v>
      </c>
      <c r="L37" s="26">
        <f>'R0031_Gen2_Exc_Electrolyte'!$O$5</f>
        <v>0.18671767033692721</v>
      </c>
      <c r="M37" t="s">
        <v>134</v>
      </c>
      <c r="N37" s="16" t="s">
        <v>178</v>
      </c>
      <c r="O37" s="90"/>
    </row>
    <row r="38" spans="1:15" x14ac:dyDescent="0.25">
      <c r="I38" s="85"/>
      <c r="J38" s="16" t="s">
        <v>77</v>
      </c>
      <c r="K38" t="s">
        <v>133</v>
      </c>
      <c r="L38" s="26">
        <f>'R0031_Gen2_Exc_Electrolyte'!$O$6</f>
        <v>0.28205001988357098</v>
      </c>
      <c r="M38" t="s">
        <v>134</v>
      </c>
      <c r="N38" s="16" t="s">
        <v>179</v>
      </c>
      <c r="O38" s="90"/>
    </row>
    <row r="39" spans="1:15" x14ac:dyDescent="0.25">
      <c r="I39" s="85"/>
      <c r="J39" s="16" t="s">
        <v>77</v>
      </c>
      <c r="K39" t="s">
        <v>133</v>
      </c>
      <c r="L39" s="26">
        <f>'R0031_Gen2_Exc_Electrolyte'!$O$7</f>
        <v>0.31534370879070156</v>
      </c>
      <c r="M39" t="s">
        <v>134</v>
      </c>
      <c r="N39" s="16" t="s">
        <v>180</v>
      </c>
      <c r="O39" s="90"/>
    </row>
    <row r="40" spans="1:15" x14ac:dyDescent="0.25">
      <c r="B40" t="s">
        <v>182</v>
      </c>
      <c r="C40" t="s">
        <v>63</v>
      </c>
      <c r="D40" t="s">
        <v>183</v>
      </c>
      <c r="E40" t="s">
        <v>184</v>
      </c>
      <c r="F40" t="s">
        <v>63</v>
      </c>
      <c r="G40" t="s">
        <v>41</v>
      </c>
      <c r="I40" s="85"/>
      <c r="J40" s="16" t="s">
        <v>77</v>
      </c>
      <c r="K40" t="s">
        <v>133</v>
      </c>
      <c r="L40" s="26">
        <f>'R0031_Gen2_Exc_Electrolyte'!$O$8</f>
        <v>0.37229952190662774</v>
      </c>
      <c r="M40" t="s">
        <v>134</v>
      </c>
      <c r="N40" s="16" t="s">
        <v>185</v>
      </c>
      <c r="O40" s="90"/>
    </row>
    <row r="41" spans="1:15" x14ac:dyDescent="0.25">
      <c r="A41" t="s">
        <v>45</v>
      </c>
      <c r="B41">
        <f>'R0031_Gen2_Total'!K26</f>
        <v>8.0230653602659672</v>
      </c>
      <c r="C41">
        <f>'R0031_Gen2_Total'!L26</f>
        <v>1.2230048033020289</v>
      </c>
      <c r="D41">
        <f>100*B41/SUM($B$41:$B$44)</f>
        <v>32.08979100294389</v>
      </c>
      <c r="E41">
        <f>D41/100</f>
        <v>0.3208979100294389</v>
      </c>
      <c r="F41">
        <f>C41/SUM($B$41:$B$44)</f>
        <v>4.891642629252816E-2</v>
      </c>
      <c r="G41">
        <f>100*F41/E41</f>
        <v>15.243610121374928</v>
      </c>
      <c r="H41" t="s">
        <v>8</v>
      </c>
      <c r="I41" s="85"/>
      <c r="J41" s="16" t="s">
        <v>77</v>
      </c>
      <c r="K41" t="s">
        <v>133</v>
      </c>
      <c r="L41" s="26">
        <f>'R0031_Gen2_Exc_Electrolyte'!$O$9</f>
        <v>2.7857706936362288</v>
      </c>
      <c r="M41" t="s">
        <v>134</v>
      </c>
      <c r="N41" s="16" t="s">
        <v>187</v>
      </c>
      <c r="O41" s="90"/>
    </row>
    <row r="42" spans="1:15" x14ac:dyDescent="0.25">
      <c r="A42" t="s">
        <v>46</v>
      </c>
      <c r="B42">
        <f>'R0031_Gen2_Total'!K27</f>
        <v>14.983333464875429</v>
      </c>
      <c r="C42">
        <f>'R0031_Gen2_Total'!L27</f>
        <v>1.1410463796810786</v>
      </c>
      <c r="D42">
        <f>100*B42/SUM($B$41:$B$44)</f>
        <v>59.928720236591538</v>
      </c>
      <c r="E42">
        <f>D42/100</f>
        <v>0.59928720236591537</v>
      </c>
      <c r="F42">
        <f>C42/SUM($B$41:$B$44)</f>
        <v>4.5638341711599542E-2</v>
      </c>
      <c r="G42">
        <f>100*F42/E42</f>
        <v>7.6154373948625533</v>
      </c>
      <c r="H42" t="s">
        <v>6</v>
      </c>
      <c r="I42" s="85"/>
      <c r="L42" s="26"/>
      <c r="M42" s="16"/>
      <c r="O42" s="90"/>
    </row>
    <row r="43" spans="1:15" x14ac:dyDescent="0.25">
      <c r="A43" t="s">
        <v>47</v>
      </c>
      <c r="B43">
        <f>'R0031_Gen2_Total'!K28</f>
        <v>1.3291662822377912</v>
      </c>
      <c r="C43">
        <f>'R0031_Gen2_Total'!L28</f>
        <v>1.0471293619808668</v>
      </c>
      <c r="D43">
        <f>100*B43/SUM($B$41:$B$44)</f>
        <v>5.3162558560730337</v>
      </c>
      <c r="E43">
        <f>D43/100</f>
        <v>5.3162558560730336E-2</v>
      </c>
      <c r="F43">
        <f>C43/SUM($B$41:$B$44)</f>
        <v>4.1881950190043163E-2</v>
      </c>
      <c r="G43">
        <f>100*F43/E43</f>
        <v>78.780915222880509</v>
      </c>
      <c r="H43" t="s">
        <v>15</v>
      </c>
      <c r="I43" s="85"/>
      <c r="J43" s="16" t="str">
        <f>N25</f>
        <v>Cathode-m</v>
      </c>
      <c r="K43" t="s">
        <v>133</v>
      </c>
      <c r="L43" s="26">
        <f>$L$25</f>
        <v>43.691047783854742</v>
      </c>
      <c r="M43" s="16" t="s">
        <v>134</v>
      </c>
      <c r="N43" s="16" t="s">
        <v>188</v>
      </c>
      <c r="O43" s="90"/>
    </row>
    <row r="44" spans="1:15" x14ac:dyDescent="0.25">
      <c r="A44" t="s">
        <v>48</v>
      </c>
      <c r="B44">
        <f>'R0031_Gen2_Total'!K29</f>
        <v>0.66635952195210857</v>
      </c>
      <c r="C44">
        <f>'R0031_Gen2_Total'!L29</f>
        <v>1.0409583120925645</v>
      </c>
      <c r="D44">
        <f>100*B44/SUM($B$41:$B$44)</f>
        <v>2.6652329043915333</v>
      </c>
      <c r="E44">
        <f>D44/100</f>
        <v>2.6652329043915332E-2</v>
      </c>
      <c r="F44">
        <f>C44/SUM($B$41:$B$44)</f>
        <v>4.1635127196222012E-2</v>
      </c>
      <c r="G44">
        <f>100*F44/E44</f>
        <v>156.21571806208513</v>
      </c>
      <c r="H44" t="s">
        <v>16</v>
      </c>
      <c r="I44" s="85"/>
      <c r="J44" s="16" t="str">
        <f>N27</f>
        <v>Unliberated-m</v>
      </c>
      <c r="K44" t="s">
        <v>133</v>
      </c>
      <c r="L44" s="26">
        <f>$L$27*$D$41/100</f>
        <v>0.63831722464756668</v>
      </c>
      <c r="M44" s="16" t="s">
        <v>134</v>
      </c>
      <c r="N44" s="16" t="s">
        <v>188</v>
      </c>
      <c r="O44" s="90"/>
    </row>
    <row r="45" spans="1:15" x14ac:dyDescent="0.25">
      <c r="I45" s="85"/>
      <c r="J45" s="16" t="str">
        <f>N31</f>
        <v>Cathode-n</v>
      </c>
      <c r="K45" t="s">
        <v>133</v>
      </c>
      <c r="L45" s="26">
        <f>$L$31</f>
        <v>1.2612879656386633</v>
      </c>
      <c r="M45" s="16" t="s">
        <v>134</v>
      </c>
      <c r="N45" s="16" t="s">
        <v>188</v>
      </c>
      <c r="O45" s="90"/>
    </row>
    <row r="46" spans="1:15" x14ac:dyDescent="0.25">
      <c r="I46" s="85"/>
      <c r="J46" s="16" t="str">
        <f>N33</f>
        <v>Unliberated-n</v>
      </c>
      <c r="K46" t="s">
        <v>133</v>
      </c>
      <c r="L46" s="26">
        <f>$L$33*$D$41/100</f>
        <v>0.85300950706548506</v>
      </c>
      <c r="M46" s="16" t="s">
        <v>134</v>
      </c>
      <c r="N46" s="16" t="s">
        <v>188</v>
      </c>
      <c r="O46" s="90"/>
    </row>
    <row r="47" spans="1:15" x14ac:dyDescent="0.25">
      <c r="I47" s="85"/>
      <c r="J47" s="16" t="str">
        <f>N37</f>
        <v>Cathode-i</v>
      </c>
      <c r="K47" t="s">
        <v>133</v>
      </c>
      <c r="L47" s="26">
        <f>$L$37</f>
        <v>0.18671767033692721</v>
      </c>
      <c r="M47" s="16" t="s">
        <v>134</v>
      </c>
      <c r="N47" s="16" t="s">
        <v>188</v>
      </c>
      <c r="O47" s="90"/>
    </row>
    <row r="48" spans="1:15" x14ac:dyDescent="0.25">
      <c r="I48" s="85"/>
      <c r="J48" s="16" t="str">
        <f>N39</f>
        <v>Unliberated-i</v>
      </c>
      <c r="K48" t="s">
        <v>133</v>
      </c>
      <c r="L48" s="26">
        <f>$L$39*$D$41/100</f>
        <v>0.10119313709186813</v>
      </c>
      <c r="M48" s="16" t="s">
        <v>134</v>
      </c>
      <c r="N48" s="16" t="s">
        <v>188</v>
      </c>
      <c r="O48" s="90"/>
    </row>
    <row r="49" spans="2:15" x14ac:dyDescent="0.25">
      <c r="I49" s="85"/>
      <c r="J49" t="s">
        <v>150</v>
      </c>
      <c r="K49" t="s">
        <v>133</v>
      </c>
      <c r="L49" s="26">
        <f>$L$16*$D$41/100</f>
        <v>5.9670487780544894</v>
      </c>
      <c r="M49" s="16" t="s">
        <v>134</v>
      </c>
      <c r="N49" s="16" t="s">
        <v>188</v>
      </c>
      <c r="O49" s="90"/>
    </row>
    <row r="50" spans="2:15" x14ac:dyDescent="0.25">
      <c r="I50" s="85"/>
      <c r="J50" t="s">
        <v>151</v>
      </c>
      <c r="K50" t="s">
        <v>133</v>
      </c>
      <c r="L50" s="26">
        <f>$L$17*$D$41/100</f>
        <v>0.46274209716499048</v>
      </c>
      <c r="M50" s="16" t="s">
        <v>134</v>
      </c>
      <c r="N50" s="16" t="s">
        <v>188</v>
      </c>
      <c r="O50" s="90"/>
    </row>
    <row r="51" spans="2:15" x14ac:dyDescent="0.25">
      <c r="B51" s="16"/>
      <c r="F51" s="16"/>
      <c r="G51" s="16"/>
      <c r="I51" s="85"/>
      <c r="L51" s="26"/>
      <c r="O51" s="90"/>
    </row>
    <row r="52" spans="2:15" x14ac:dyDescent="0.25">
      <c r="E52" s="74" t="s">
        <v>189</v>
      </c>
      <c r="I52" s="85"/>
      <c r="J52" s="16" t="str">
        <f>N26</f>
        <v>Anode-m</v>
      </c>
      <c r="K52" t="s">
        <v>133</v>
      </c>
      <c r="L52" s="26">
        <f>$L$26</f>
        <v>0.76598164910287692</v>
      </c>
      <c r="M52" s="16" t="s">
        <v>134</v>
      </c>
      <c r="N52" s="16" t="s">
        <v>190</v>
      </c>
      <c r="O52" s="90"/>
    </row>
    <row r="53" spans="2:15" x14ac:dyDescent="0.25">
      <c r="B53" s="16"/>
      <c r="D53" t="s">
        <v>45</v>
      </c>
      <c r="E53" s="29" t="s">
        <v>138</v>
      </c>
      <c r="I53" s="85"/>
      <c r="J53" s="16" t="str">
        <f>N27</f>
        <v>Unliberated-m</v>
      </c>
      <c r="K53" t="s">
        <v>133</v>
      </c>
      <c r="L53" s="26">
        <f>$L$27*$D$42/100</f>
        <v>1.1920780155468209</v>
      </c>
      <c r="M53" s="16" t="s">
        <v>134</v>
      </c>
      <c r="N53" s="16" t="s">
        <v>190</v>
      </c>
      <c r="O53" s="90"/>
    </row>
    <row r="54" spans="2:15" x14ac:dyDescent="0.25">
      <c r="E54" s="75" t="s">
        <v>181</v>
      </c>
      <c r="I54" s="85"/>
      <c r="J54" s="16" t="str">
        <f>N32</f>
        <v>Anode-n</v>
      </c>
      <c r="K54" t="s">
        <v>133</v>
      </c>
      <c r="L54" s="26">
        <f>$L$32</f>
        <v>22.877142089252089</v>
      </c>
      <c r="M54" s="16" t="s">
        <v>134</v>
      </c>
      <c r="N54" s="16" t="s">
        <v>190</v>
      </c>
      <c r="O54" s="90"/>
    </row>
    <row r="55" spans="2:15" x14ac:dyDescent="0.25">
      <c r="E55" s="71" t="s">
        <v>191</v>
      </c>
      <c r="I55" s="85"/>
      <c r="J55" s="16" t="str">
        <f>N33</f>
        <v>Unliberated-n</v>
      </c>
      <c r="K55" t="s">
        <v>133</v>
      </c>
      <c r="L55" s="26">
        <f>$L$33*$D$42/100</f>
        <v>1.5930227810891828</v>
      </c>
      <c r="M55" s="16" t="s">
        <v>134</v>
      </c>
      <c r="N55" s="16" t="s">
        <v>190</v>
      </c>
      <c r="O55" s="90"/>
    </row>
    <row r="56" spans="2:15" x14ac:dyDescent="0.25">
      <c r="E56" s="73" t="s">
        <v>192</v>
      </c>
      <c r="I56" s="85"/>
      <c r="J56" s="16" t="str">
        <f>N38</f>
        <v>Anode-i</v>
      </c>
      <c r="K56" t="s">
        <v>133</v>
      </c>
      <c r="L56" s="26">
        <f>$L$38</f>
        <v>0.28205001988357098</v>
      </c>
      <c r="M56" s="16" t="s">
        <v>134</v>
      </c>
      <c r="N56" s="16" t="s">
        <v>190</v>
      </c>
      <c r="O56" s="90"/>
    </row>
    <row r="57" spans="2:15" x14ac:dyDescent="0.25">
      <c r="E57" s="66" t="s">
        <v>193</v>
      </c>
      <c r="I57" s="85"/>
      <c r="J57" s="16" t="str">
        <f>N39</f>
        <v>Unliberated-i</v>
      </c>
      <c r="K57" t="s">
        <v>133</v>
      </c>
      <c r="L57" s="26">
        <f>$L$39*$D$42/100</f>
        <v>0.18898144902487146</v>
      </c>
      <c r="M57" s="16" t="s">
        <v>134</v>
      </c>
      <c r="N57" s="16" t="s">
        <v>190</v>
      </c>
      <c r="O57" s="90"/>
    </row>
    <row r="58" spans="2:15" x14ac:dyDescent="0.25">
      <c r="D58" t="s">
        <v>46</v>
      </c>
      <c r="E58" s="62" t="s">
        <v>139</v>
      </c>
      <c r="I58" s="85"/>
      <c r="J58" t="s">
        <v>150</v>
      </c>
      <c r="K58" t="s">
        <v>133</v>
      </c>
      <c r="L58" s="26">
        <f>$L$16*$D$42/100</f>
        <v>11.14365614987387</v>
      </c>
      <c r="M58" s="16" t="s">
        <v>134</v>
      </c>
      <c r="N58" s="16" t="s">
        <v>190</v>
      </c>
      <c r="O58" s="90"/>
    </row>
    <row r="59" spans="2:15" x14ac:dyDescent="0.25">
      <c r="E59" s="63" t="s">
        <v>186</v>
      </c>
      <c r="I59" s="85"/>
      <c r="J59" t="s">
        <v>151</v>
      </c>
      <c r="K59" t="s">
        <v>133</v>
      </c>
      <c r="L59" s="26">
        <f>$L$17*$D$42/100</f>
        <v>0.8641857991580657</v>
      </c>
      <c r="M59" s="16" t="s">
        <v>134</v>
      </c>
      <c r="N59" s="16" t="s">
        <v>190</v>
      </c>
      <c r="O59" s="90"/>
    </row>
    <row r="60" spans="2:15" x14ac:dyDescent="0.25">
      <c r="E60" s="65" t="s">
        <v>194</v>
      </c>
      <c r="I60" s="85"/>
      <c r="L60" s="26"/>
      <c r="O60" s="90"/>
    </row>
    <row r="61" spans="2:15" x14ac:dyDescent="0.25">
      <c r="E61" s="64" t="s">
        <v>153</v>
      </c>
      <c r="I61" s="85"/>
      <c r="J61" s="16" t="str">
        <f>N28</f>
        <v>Pouch-m</v>
      </c>
      <c r="K61" t="s">
        <v>133</v>
      </c>
      <c r="L61" s="26">
        <f>$L$28</f>
        <v>0.19881916398455163</v>
      </c>
      <c r="M61" s="16" t="s">
        <v>134</v>
      </c>
      <c r="N61" s="16" t="s">
        <v>195</v>
      </c>
      <c r="O61" s="90"/>
    </row>
    <row r="62" spans="2:15" x14ac:dyDescent="0.25">
      <c r="E62" s="76" t="s">
        <v>170</v>
      </c>
      <c r="I62" s="85"/>
      <c r="J62" s="16" t="str">
        <f>N27</f>
        <v>Unliberated-m</v>
      </c>
      <c r="K62" t="s">
        <v>133</v>
      </c>
      <c r="L62" s="26">
        <f>$L$27*$D$43/100</f>
        <v>0.10574882470420575</v>
      </c>
      <c r="M62" s="16" t="s">
        <v>134</v>
      </c>
      <c r="N62" s="16" t="s">
        <v>195</v>
      </c>
      <c r="O62" s="90"/>
    </row>
    <row r="63" spans="2:15" x14ac:dyDescent="0.25">
      <c r="D63" t="s">
        <v>49</v>
      </c>
      <c r="E63" s="72" t="s">
        <v>142</v>
      </c>
      <c r="I63" s="85"/>
      <c r="J63" s="16" t="str">
        <f>N34</f>
        <v>Pouch-n</v>
      </c>
      <c r="K63" t="s">
        <v>133</v>
      </c>
      <c r="L63" s="26">
        <f>$L$34</f>
        <v>2.2024437638132435</v>
      </c>
      <c r="M63" s="16" t="s">
        <v>134</v>
      </c>
      <c r="N63" s="16" t="s">
        <v>195</v>
      </c>
      <c r="O63" s="90"/>
    </row>
    <row r="64" spans="2:15" x14ac:dyDescent="0.25">
      <c r="D64" t="s">
        <v>47</v>
      </c>
      <c r="E64" s="69" t="s">
        <v>196</v>
      </c>
      <c r="I64" s="85"/>
      <c r="J64" s="16" t="str">
        <f>N33</f>
        <v>Unliberated-n</v>
      </c>
      <c r="K64" t="s">
        <v>133</v>
      </c>
      <c r="L64" s="26">
        <f>$L$33*$D$43/100</f>
        <v>0.14131649491911108</v>
      </c>
      <c r="M64" s="16" t="s">
        <v>134</v>
      </c>
      <c r="N64" s="16" t="s">
        <v>195</v>
      </c>
      <c r="O64" s="90"/>
    </row>
    <row r="65" spans="4:15" x14ac:dyDescent="0.25">
      <c r="E65" s="67" t="s">
        <v>177</v>
      </c>
      <c r="I65" s="85"/>
      <c r="J65" s="16" t="str">
        <f>N40</f>
        <v>Pouch-i</v>
      </c>
      <c r="K65" t="s">
        <v>133</v>
      </c>
      <c r="L65" s="26">
        <f>$L$40</f>
        <v>0.37229952190662774</v>
      </c>
      <c r="M65" s="16" t="s">
        <v>134</v>
      </c>
      <c r="N65" s="16" t="s">
        <v>195</v>
      </c>
      <c r="O65" s="90"/>
    </row>
    <row r="66" spans="4:15" x14ac:dyDescent="0.25">
      <c r="E66" s="68" t="s">
        <v>173</v>
      </c>
      <c r="I66" s="85"/>
      <c r="J66" s="16" t="str">
        <f>N39</f>
        <v>Unliberated-i</v>
      </c>
      <c r="K66" t="s">
        <v>133</v>
      </c>
      <c r="L66" s="26">
        <f>$L$39*$D$43/100</f>
        <v>1.6764478385343565E-2</v>
      </c>
      <c r="M66" s="16" t="s">
        <v>134</v>
      </c>
      <c r="N66" s="16" t="s">
        <v>195</v>
      </c>
      <c r="O66" s="90"/>
    </row>
    <row r="67" spans="4:15" x14ac:dyDescent="0.25">
      <c r="D67" t="s">
        <v>48</v>
      </c>
      <c r="E67" s="70" t="s">
        <v>141</v>
      </c>
      <c r="I67" s="85"/>
      <c r="J67" t="s">
        <v>150</v>
      </c>
      <c r="K67" t="s">
        <v>133</v>
      </c>
      <c r="L67" s="26">
        <f>$L$16*$D$43/100</f>
        <v>0.98854984773492105</v>
      </c>
      <c r="M67" s="16" t="s">
        <v>134</v>
      </c>
      <c r="N67" s="16" t="s">
        <v>195</v>
      </c>
      <c r="O67" s="90"/>
    </row>
    <row r="68" spans="4:15" x14ac:dyDescent="0.25">
      <c r="D68" t="s">
        <v>197</v>
      </c>
      <c r="E68" s="78" t="s">
        <v>140</v>
      </c>
      <c r="I68" s="85"/>
      <c r="J68" t="s">
        <v>151</v>
      </c>
      <c r="K68" t="s">
        <v>133</v>
      </c>
      <c r="L68" s="26">
        <f>$L$17*$D$43/100</f>
        <v>7.6661620628168448E-2</v>
      </c>
      <c r="M68" s="16" t="s">
        <v>134</v>
      </c>
      <c r="N68" s="16" t="s">
        <v>195</v>
      </c>
      <c r="O68" s="90"/>
    </row>
    <row r="69" spans="4:15" x14ac:dyDescent="0.25">
      <c r="I69" s="85"/>
      <c r="L69" s="26"/>
      <c r="O69" s="90"/>
    </row>
    <row r="70" spans="4:15" x14ac:dyDescent="0.25">
      <c r="I70" s="85"/>
      <c r="J70" s="16" t="str">
        <f>N29</f>
        <v>Separator-m</v>
      </c>
      <c r="K70" t="s">
        <v>133</v>
      </c>
      <c r="L70" s="26">
        <f>$L$29</f>
        <v>8.470402906640416E-2</v>
      </c>
      <c r="M70" s="16" t="s">
        <v>134</v>
      </c>
      <c r="N70" s="16" t="s">
        <v>198</v>
      </c>
      <c r="O70" s="90"/>
    </row>
    <row r="71" spans="4:15" x14ac:dyDescent="0.25">
      <c r="I71" s="85"/>
      <c r="J71" s="16" t="str">
        <f>N27</f>
        <v>Unliberated-m</v>
      </c>
      <c r="K71" t="s">
        <v>133</v>
      </c>
      <c r="L71" s="26">
        <f>$L$27*$D$44/100</f>
        <v>5.3015741686024215E-2</v>
      </c>
      <c r="M71" s="16" t="s">
        <v>134</v>
      </c>
      <c r="N71" s="16" t="s">
        <v>198</v>
      </c>
      <c r="O71" s="90"/>
    </row>
    <row r="72" spans="4:15" x14ac:dyDescent="0.25">
      <c r="I72" s="85"/>
      <c r="J72" s="16" t="str">
        <f>N35</f>
        <v>Separator-n</v>
      </c>
      <c r="K72" t="s">
        <v>133</v>
      </c>
      <c r="L72" s="26">
        <f>$L$35</f>
        <v>0.2898110201927695</v>
      </c>
      <c r="M72" s="16" t="s">
        <v>134</v>
      </c>
      <c r="N72" s="16" t="s">
        <v>198</v>
      </c>
      <c r="O72" s="90"/>
    </row>
    <row r="73" spans="4:15" x14ac:dyDescent="0.25">
      <c r="I73" s="85"/>
      <c r="J73" s="16" t="str">
        <f>N33</f>
        <v>Unliberated-n</v>
      </c>
      <c r="K73" t="s">
        <v>133</v>
      </c>
      <c r="L73" s="26">
        <f>$L$33*$D$44/100</f>
        <v>7.0847111649345637E-2</v>
      </c>
      <c r="M73" s="16" t="s">
        <v>134</v>
      </c>
      <c r="N73" s="16" t="s">
        <v>198</v>
      </c>
      <c r="O73" s="90"/>
    </row>
    <row r="74" spans="4:15" x14ac:dyDescent="0.25">
      <c r="I74" s="85"/>
      <c r="J74" s="16" t="str">
        <f>N41</f>
        <v>Separator-i</v>
      </c>
      <c r="K74" t="s">
        <v>133</v>
      </c>
      <c r="L74" s="26">
        <f>$L$41</f>
        <v>2.7857706936362288</v>
      </c>
      <c r="M74" s="16" t="s">
        <v>134</v>
      </c>
      <c r="N74" s="16" t="s">
        <v>198</v>
      </c>
      <c r="O74" s="90"/>
    </row>
    <row r="75" spans="4:15" x14ac:dyDescent="0.25">
      <c r="I75" s="85"/>
      <c r="J75" s="16" t="str">
        <f>N39</f>
        <v>Unliberated-i</v>
      </c>
      <c r="K75" t="s">
        <v>133</v>
      </c>
      <c r="L75" s="26">
        <f>$L$39*$D$44/100</f>
        <v>8.4046442886183941E-3</v>
      </c>
      <c r="M75" s="16" t="s">
        <v>134</v>
      </c>
      <c r="N75" s="16" t="s">
        <v>198</v>
      </c>
      <c r="O75" s="90"/>
    </row>
    <row r="76" spans="4:15" x14ac:dyDescent="0.25">
      <c r="I76" s="85"/>
      <c r="J76" t="s">
        <v>150</v>
      </c>
      <c r="K76" t="s">
        <v>133</v>
      </c>
      <c r="L76" s="26">
        <f>$L$16*$D$44/100</f>
        <v>0.49559608362426344</v>
      </c>
      <c r="M76" s="16" t="s">
        <v>134</v>
      </c>
      <c r="N76" s="16" t="s">
        <v>198</v>
      </c>
      <c r="O76" s="90"/>
    </row>
    <row r="77" spans="4:15" x14ac:dyDescent="0.25">
      <c r="I77" s="85"/>
      <c r="J77" t="s">
        <v>151</v>
      </c>
      <c r="K77" t="s">
        <v>133</v>
      </c>
      <c r="L77" s="26">
        <f>$L$17*$D$44/100</f>
        <v>3.8433265691824967E-2</v>
      </c>
      <c r="M77" s="16" t="s">
        <v>134</v>
      </c>
      <c r="N77" s="16" t="s">
        <v>198</v>
      </c>
      <c r="O77" s="90"/>
    </row>
    <row r="78" spans="4:15" x14ac:dyDescent="0.25">
      <c r="I78" s="85"/>
      <c r="O78" s="90"/>
    </row>
    <row r="79" spans="4:15" x14ac:dyDescent="0.25">
      <c r="I79" s="85"/>
      <c r="K79" t="s">
        <v>158</v>
      </c>
      <c r="L79" s="16" t="s">
        <v>45</v>
      </c>
      <c r="N79" s="29" t="s">
        <v>138</v>
      </c>
      <c r="O79" s="90"/>
    </row>
    <row r="80" spans="4:15" x14ac:dyDescent="0.25">
      <c r="I80" s="85"/>
      <c r="K80" t="s">
        <v>158</v>
      </c>
      <c r="L80" s="16" t="s">
        <v>46</v>
      </c>
      <c r="N80" s="62" t="s">
        <v>139</v>
      </c>
      <c r="O80" s="90"/>
    </row>
    <row r="81" spans="9:15" x14ac:dyDescent="0.25">
      <c r="I81" s="85"/>
      <c r="K81" t="s">
        <v>158</v>
      </c>
      <c r="L81" s="16" t="s">
        <v>47</v>
      </c>
      <c r="N81" s="78" t="s">
        <v>140</v>
      </c>
      <c r="O81" s="90"/>
    </row>
    <row r="82" spans="9:15" x14ac:dyDescent="0.25">
      <c r="I82" s="85"/>
      <c r="K82" t="s">
        <v>158</v>
      </c>
      <c r="L82" s="16" t="s">
        <v>48</v>
      </c>
      <c r="N82" s="70" t="s">
        <v>141</v>
      </c>
      <c r="O82" s="90"/>
    </row>
    <row r="83" spans="9:15" x14ac:dyDescent="0.25">
      <c r="I83" s="85"/>
      <c r="K83" t="s">
        <v>158</v>
      </c>
      <c r="L83" s="16" t="s">
        <v>49</v>
      </c>
      <c r="N83" s="72" t="s">
        <v>142</v>
      </c>
      <c r="O83" s="90"/>
    </row>
    <row r="84" spans="9:15" x14ac:dyDescent="0.25">
      <c r="I84" s="85"/>
      <c r="K84" t="s">
        <v>158</v>
      </c>
      <c r="L84" t="str" cm="1">
        <f t="array" ref="L84:L113">_xlfn.UNIQUE(_xlfn._xlws.FILTER(N4:N77,N4:N77&lt;&gt;""))</f>
        <v>Whole Cell</v>
      </c>
      <c r="N84" s="76" t="s">
        <v>170</v>
      </c>
      <c r="O84" s="90"/>
    </row>
    <row r="85" spans="9:15" x14ac:dyDescent="0.25">
      <c r="I85" s="85"/>
      <c r="K85" t="s">
        <v>158</v>
      </c>
      <c r="L85" s="16" t="str">
        <v>Shredded Cell</v>
      </c>
      <c r="N85" s="76" t="s">
        <v>170</v>
      </c>
      <c r="O85" s="90"/>
    </row>
    <row r="86" spans="9:15" x14ac:dyDescent="0.25">
      <c r="I86" s="85"/>
      <c r="K86" t="s">
        <v>158</v>
      </c>
      <c r="L86" t="str">
        <v>Dry Cell Pieces</v>
      </c>
      <c r="N86" s="68" t="s">
        <v>173</v>
      </c>
      <c r="O86" s="90"/>
    </row>
    <row r="87" spans="9:15" x14ac:dyDescent="0.25">
      <c r="I87" s="85"/>
      <c r="K87" t="s">
        <v>158</v>
      </c>
      <c r="L87" s="16" t="str">
        <v>Electrolyte out</v>
      </c>
      <c r="N87" s="72" t="s">
        <v>142</v>
      </c>
      <c r="O87" s="90"/>
    </row>
    <row r="88" spans="9:15" x14ac:dyDescent="0.25">
      <c r="I88" s="85"/>
      <c r="K88" t="s">
        <v>158</v>
      </c>
      <c r="L88" s="16" t="str">
        <v>1-11.2mm dry cell pieces</v>
      </c>
      <c r="N88" s="76" t="s">
        <v>170</v>
      </c>
      <c r="O88" s="90"/>
    </row>
    <row r="89" spans="9:15" x14ac:dyDescent="0.25">
      <c r="I89" s="85"/>
      <c r="K89" t="s">
        <v>158</v>
      </c>
      <c r="L89" t="str">
        <v>&lt;1mm pieces</v>
      </c>
      <c r="N89" s="67" t="s">
        <v>177</v>
      </c>
      <c r="O89" s="90"/>
    </row>
    <row r="90" spans="9:15" x14ac:dyDescent="0.25">
      <c r="I90" s="85"/>
      <c r="K90" t="s">
        <v>158</v>
      </c>
      <c r="L90" t="str">
        <v>&gt;11.2mm pieces</v>
      </c>
      <c r="N90" s="67" t="s">
        <v>177</v>
      </c>
      <c r="O90" s="90"/>
    </row>
    <row r="91" spans="9:15" x14ac:dyDescent="0.25">
      <c r="I91" s="85"/>
      <c r="K91" t="s">
        <v>158</v>
      </c>
      <c r="L91" t="str">
        <v>Conductors</v>
      </c>
      <c r="N91" s="67" t="s">
        <v>177</v>
      </c>
      <c r="O91" s="90"/>
    </row>
    <row r="92" spans="9:15" x14ac:dyDescent="0.25">
      <c r="I92" s="85"/>
      <c r="K92" t="s">
        <v>158</v>
      </c>
      <c r="L92" t="str">
        <v>Insulators</v>
      </c>
      <c r="N92" s="70" t="s">
        <v>141</v>
      </c>
      <c r="O92" s="90"/>
    </row>
    <row r="93" spans="9:15" x14ac:dyDescent="0.25">
      <c r="I93" s="85"/>
      <c r="K93" t="s">
        <v>158</v>
      </c>
      <c r="L93" t="str">
        <v>Magnetic</v>
      </c>
      <c r="N93" s="75" t="s">
        <v>181</v>
      </c>
      <c r="O93" s="90"/>
    </row>
    <row r="94" spans="9:15" x14ac:dyDescent="0.25">
      <c r="I94" s="85"/>
      <c r="K94" t="s">
        <v>158</v>
      </c>
      <c r="L94" t="str">
        <v>Non-Magnetic</v>
      </c>
      <c r="N94" s="63" t="s">
        <v>186</v>
      </c>
      <c r="O94" s="90"/>
    </row>
    <row r="95" spans="9:15" x14ac:dyDescent="0.25">
      <c r="I95" s="85"/>
      <c r="K95" t="s">
        <v>158</v>
      </c>
      <c r="L95" t="str">
        <v>Cathode-m</v>
      </c>
      <c r="N95" s="29" t="s">
        <v>138</v>
      </c>
      <c r="O95" s="90"/>
    </row>
    <row r="96" spans="9:15" x14ac:dyDescent="0.25">
      <c r="I96" s="85"/>
      <c r="K96" t="s">
        <v>158</v>
      </c>
      <c r="L96" t="str">
        <v>Anode-m</v>
      </c>
      <c r="N96" s="62" t="s">
        <v>139</v>
      </c>
      <c r="O96" s="90"/>
    </row>
    <row r="97" spans="9:15" x14ac:dyDescent="0.25">
      <c r="I97" s="85"/>
      <c r="K97" t="s">
        <v>158</v>
      </c>
      <c r="L97" t="str">
        <v>Unliberated-m</v>
      </c>
      <c r="N97" s="76" t="s">
        <v>170</v>
      </c>
      <c r="O97" s="90"/>
    </row>
    <row r="98" spans="9:15" x14ac:dyDescent="0.25">
      <c r="I98" s="85"/>
      <c r="K98" t="s">
        <v>158</v>
      </c>
      <c r="L98" t="str">
        <v>Pouch-m</v>
      </c>
      <c r="N98" s="69" t="s">
        <v>196</v>
      </c>
      <c r="O98" s="90"/>
    </row>
    <row r="99" spans="9:15" x14ac:dyDescent="0.25">
      <c r="I99" s="85"/>
      <c r="K99" t="s">
        <v>158</v>
      </c>
      <c r="L99" t="str">
        <v>Separator-m</v>
      </c>
      <c r="N99" s="70" t="s">
        <v>141</v>
      </c>
      <c r="O99" s="90"/>
    </row>
    <row r="100" spans="9:15" x14ac:dyDescent="0.25">
      <c r="I100" s="85"/>
      <c r="K100" t="s">
        <v>158</v>
      </c>
      <c r="L100" t="str">
        <v>Cathode-n</v>
      </c>
      <c r="N100" s="29" t="s">
        <v>138</v>
      </c>
      <c r="O100" s="90"/>
    </row>
    <row r="101" spans="9:15" x14ac:dyDescent="0.25">
      <c r="I101" s="85"/>
      <c r="K101" t="s">
        <v>158</v>
      </c>
      <c r="L101" t="str">
        <v>Anode-n</v>
      </c>
      <c r="N101" s="62" t="s">
        <v>139</v>
      </c>
      <c r="O101" s="90"/>
    </row>
    <row r="102" spans="9:15" x14ac:dyDescent="0.25">
      <c r="I102" s="85"/>
      <c r="K102" t="s">
        <v>158</v>
      </c>
      <c r="L102" t="str">
        <v>Unliberated-n</v>
      </c>
      <c r="N102" s="76" t="s">
        <v>170</v>
      </c>
      <c r="O102" s="90"/>
    </row>
    <row r="103" spans="9:15" x14ac:dyDescent="0.25">
      <c r="I103" s="85"/>
      <c r="K103" t="s">
        <v>158</v>
      </c>
      <c r="L103" t="str">
        <v>Pouch-n</v>
      </c>
      <c r="N103" s="69" t="s">
        <v>196</v>
      </c>
      <c r="O103" s="90"/>
    </row>
    <row r="104" spans="9:15" x14ac:dyDescent="0.25">
      <c r="I104" s="85"/>
      <c r="K104" t="s">
        <v>158</v>
      </c>
      <c r="L104" t="str">
        <v>Separator-n</v>
      </c>
      <c r="N104" s="70" t="s">
        <v>141</v>
      </c>
      <c r="O104" s="90"/>
    </row>
    <row r="105" spans="9:15" x14ac:dyDescent="0.25">
      <c r="I105" s="85"/>
      <c r="K105" t="s">
        <v>158</v>
      </c>
      <c r="L105" t="str">
        <v>Cathode-i</v>
      </c>
      <c r="N105" s="29" t="s">
        <v>138</v>
      </c>
      <c r="O105" s="90"/>
    </row>
    <row r="106" spans="9:15" x14ac:dyDescent="0.25">
      <c r="I106" s="85"/>
      <c r="K106" t="s">
        <v>158</v>
      </c>
      <c r="L106" t="str">
        <v>Anode-i</v>
      </c>
      <c r="N106" s="62" t="s">
        <v>139</v>
      </c>
      <c r="O106" s="90"/>
    </row>
    <row r="107" spans="9:15" x14ac:dyDescent="0.25">
      <c r="I107" s="85"/>
      <c r="K107" t="s">
        <v>158</v>
      </c>
      <c r="L107" t="str">
        <v>Unliberated-i</v>
      </c>
      <c r="N107" s="76" t="s">
        <v>170</v>
      </c>
      <c r="O107" s="90"/>
    </row>
    <row r="108" spans="9:15" x14ac:dyDescent="0.25">
      <c r="I108" s="85"/>
      <c r="K108" t="s">
        <v>158</v>
      </c>
      <c r="L108" t="str">
        <v>Pouch-i</v>
      </c>
      <c r="N108" s="69" t="s">
        <v>196</v>
      </c>
      <c r="O108" s="90"/>
    </row>
    <row r="109" spans="9:15" x14ac:dyDescent="0.25">
      <c r="I109" s="85"/>
      <c r="K109" t="s">
        <v>158</v>
      </c>
      <c r="L109" t="str">
        <v>Separator-i</v>
      </c>
      <c r="N109" s="70" t="s">
        <v>141</v>
      </c>
      <c r="O109" s="90"/>
    </row>
    <row r="110" spans="9:15" x14ac:dyDescent="0.25">
      <c r="I110" s="85"/>
      <c r="K110" t="s">
        <v>158</v>
      </c>
      <c r="L110" t="str">
        <v>Cathode-final</v>
      </c>
      <c r="N110" s="29" t="s">
        <v>138</v>
      </c>
      <c r="O110" s="90"/>
    </row>
    <row r="111" spans="9:15" x14ac:dyDescent="0.25">
      <c r="I111" s="85"/>
      <c r="K111" t="s">
        <v>158</v>
      </c>
      <c r="L111" t="str">
        <v>Anode-final</v>
      </c>
      <c r="N111" s="62" t="s">
        <v>139</v>
      </c>
      <c r="O111" s="90"/>
    </row>
    <row r="112" spans="9:15" x14ac:dyDescent="0.25">
      <c r="I112" s="85"/>
      <c r="K112" t="s">
        <v>158</v>
      </c>
      <c r="L112" t="str">
        <v>Pouch-final</v>
      </c>
      <c r="N112" s="69" t="s">
        <v>196</v>
      </c>
      <c r="O112" s="90"/>
    </row>
    <row r="113" spans="9:15" ht="15.75" thickBot="1" x14ac:dyDescent="0.3">
      <c r="I113" s="91"/>
      <c r="J113" s="92"/>
      <c r="K113" s="92" t="s">
        <v>158</v>
      </c>
      <c r="L113" s="92" t="str">
        <v>Separator-final</v>
      </c>
      <c r="M113" s="92"/>
      <c r="N113" s="93" t="s">
        <v>141</v>
      </c>
      <c r="O113" s="94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D4EC-E384-4960-9A14-53D696BA5B8B}">
  <sheetPr codeName="Sheet18"/>
  <dimension ref="A1:Y27"/>
  <sheetViews>
    <sheetView workbookViewId="0">
      <selection activeCell="I8" sqref="I8"/>
    </sheetView>
  </sheetViews>
  <sheetFormatPr defaultRowHeight="15" x14ac:dyDescent="0.25"/>
  <cols>
    <col min="1" max="1" width="14.140625" style="2" bestFit="1" customWidth="1"/>
    <col min="5" max="5" width="8.85546875" style="2"/>
    <col min="9" max="9" width="8.85546875" style="2"/>
    <col min="13" max="13" width="8.85546875" style="7"/>
    <col min="17" max="17" width="8.85546875" style="2"/>
    <col min="21" max="21" width="8.85546875" style="2"/>
    <col min="25" max="25" width="8.85546875" style="2"/>
  </cols>
  <sheetData>
    <row r="1" spans="1:25" x14ac:dyDescent="0.25">
      <c r="B1" s="98" t="s">
        <v>0</v>
      </c>
      <c r="C1" s="98"/>
      <c r="D1" s="98"/>
      <c r="E1" s="98"/>
      <c r="F1" s="98" t="s">
        <v>1</v>
      </c>
      <c r="G1" s="98"/>
      <c r="H1" s="98"/>
      <c r="I1" s="98"/>
      <c r="J1" s="98" t="s">
        <v>2</v>
      </c>
      <c r="K1" s="98"/>
      <c r="L1" s="98"/>
      <c r="M1" s="98"/>
      <c r="N1" s="98" t="s">
        <v>3</v>
      </c>
      <c r="O1" s="98"/>
      <c r="P1" s="98"/>
      <c r="Q1" s="98"/>
      <c r="R1" s="98" t="s">
        <v>4</v>
      </c>
      <c r="S1" s="98"/>
      <c r="T1" s="98"/>
      <c r="U1" s="98"/>
      <c r="V1" s="98" t="s">
        <v>5</v>
      </c>
      <c r="W1" s="98"/>
      <c r="X1" s="98"/>
      <c r="Y1" s="98"/>
    </row>
    <row r="2" spans="1:25" s="5" customFormat="1" x14ac:dyDescent="0.25">
      <c r="A2" s="4"/>
      <c r="B2" s="5" t="s">
        <v>6</v>
      </c>
      <c r="C2" s="5" t="s">
        <v>7</v>
      </c>
      <c r="D2" s="5" t="s">
        <v>8</v>
      </c>
      <c r="E2" s="4" t="s">
        <v>9</v>
      </c>
      <c r="F2" s="5" t="s">
        <v>6</v>
      </c>
      <c r="G2" s="5" t="s">
        <v>7</v>
      </c>
      <c r="H2" s="5" t="s">
        <v>8</v>
      </c>
      <c r="I2" s="4" t="s">
        <v>9</v>
      </c>
      <c r="J2" s="5" t="s">
        <v>6</v>
      </c>
      <c r="K2" s="5" t="s">
        <v>7</v>
      </c>
      <c r="L2" s="5" t="s">
        <v>8</v>
      </c>
      <c r="M2" s="6" t="s">
        <v>9</v>
      </c>
      <c r="N2" s="5" t="s">
        <v>6</v>
      </c>
      <c r="O2" s="5" t="s">
        <v>7</v>
      </c>
      <c r="P2" s="5" t="s">
        <v>8</v>
      </c>
      <c r="Q2" s="5" t="s">
        <v>9</v>
      </c>
      <c r="R2" s="5" t="s">
        <v>6</v>
      </c>
      <c r="S2" s="5" t="s">
        <v>7</v>
      </c>
      <c r="T2" s="5" t="s">
        <v>8</v>
      </c>
      <c r="U2" s="4" t="s">
        <v>9</v>
      </c>
      <c r="V2" s="5" t="s">
        <v>6</v>
      </c>
      <c r="W2" s="5" t="s">
        <v>7</v>
      </c>
      <c r="X2" s="5" t="s">
        <v>8</v>
      </c>
      <c r="Y2" s="4" t="s">
        <v>9</v>
      </c>
    </row>
    <row r="3" spans="1:25" x14ac:dyDescent="0.25">
      <c r="A3" s="2" t="s">
        <v>12</v>
      </c>
      <c r="G3">
        <v>0.45200000000000001</v>
      </c>
      <c r="H3">
        <v>0.51</v>
      </c>
      <c r="I3" s="2">
        <v>0.439</v>
      </c>
      <c r="L3">
        <v>0.73599999999999999</v>
      </c>
    </row>
    <row r="4" spans="1:25" x14ac:dyDescent="0.25">
      <c r="A4" s="2" t="s">
        <v>8</v>
      </c>
      <c r="B4">
        <v>5.3E-3</v>
      </c>
      <c r="C4">
        <v>1.14E-2</v>
      </c>
      <c r="D4">
        <v>6.1000000000000004E-3</v>
      </c>
      <c r="E4" s="2">
        <v>7.1999999999999998E-3</v>
      </c>
      <c r="F4">
        <v>1.4500000000000001E-2</v>
      </c>
      <c r="G4">
        <v>0</v>
      </c>
      <c r="H4">
        <v>8.9999999999999993E-3</v>
      </c>
      <c r="K4">
        <v>5.0000000000000001E-3</v>
      </c>
      <c r="L4">
        <v>1.7999999999999999E-2</v>
      </c>
      <c r="N4">
        <v>4.87E-2</v>
      </c>
      <c r="O4">
        <v>0.1009</v>
      </c>
      <c r="P4">
        <v>5.4600000000000003E-2</v>
      </c>
      <c r="Q4" s="2">
        <v>2.12E-2</v>
      </c>
      <c r="R4">
        <v>0</v>
      </c>
      <c r="S4">
        <v>0</v>
      </c>
      <c r="T4">
        <v>5.4899999999999997E-2</v>
      </c>
      <c r="U4" s="2">
        <v>0</v>
      </c>
      <c r="V4" s="2">
        <v>0</v>
      </c>
      <c r="W4">
        <v>0</v>
      </c>
      <c r="Y4" s="2">
        <v>0</v>
      </c>
    </row>
    <row r="5" spans="1:25" x14ac:dyDescent="0.25">
      <c r="A5" s="2" t="s">
        <v>6</v>
      </c>
      <c r="B5">
        <v>0.1244</v>
      </c>
      <c r="C5">
        <v>2.4799999999999999E-2</v>
      </c>
      <c r="D5">
        <v>2.46E-2</v>
      </c>
      <c r="E5" s="2">
        <v>3.4000000000000002E-2</v>
      </c>
      <c r="F5">
        <v>2.12E-2</v>
      </c>
      <c r="G5">
        <v>0</v>
      </c>
      <c r="H5">
        <v>3.0000000000000001E-3</v>
      </c>
      <c r="K5">
        <v>0</v>
      </c>
      <c r="L5">
        <v>6.0000000000000001E-3</v>
      </c>
      <c r="N5">
        <v>2.98E-2</v>
      </c>
      <c r="O5">
        <v>6.4799999999999996E-2</v>
      </c>
      <c r="P5">
        <v>3.7699999999999997E-2</v>
      </c>
      <c r="Q5" s="2">
        <v>8.2699999999999996E-2</v>
      </c>
      <c r="R5">
        <v>0</v>
      </c>
      <c r="S5">
        <v>4.7E-2</v>
      </c>
      <c r="T5">
        <v>3.8999999999999998E-3</v>
      </c>
      <c r="U5" s="2">
        <v>2.6499999999999999E-2</v>
      </c>
      <c r="V5" s="2">
        <v>0</v>
      </c>
      <c r="W5">
        <v>2.8899999999999999E-2</v>
      </c>
      <c r="Y5" s="2">
        <v>0</v>
      </c>
    </row>
    <row r="6" spans="1:25" x14ac:dyDescent="0.25">
      <c r="A6" s="2" t="s">
        <v>14</v>
      </c>
      <c r="B6">
        <v>9.2999999999999992E-3</v>
      </c>
      <c r="C6">
        <v>4.7000000000000002E-3</v>
      </c>
      <c r="D6">
        <v>1.5E-3</v>
      </c>
      <c r="E6" s="2">
        <v>3.5000000000000001E-3</v>
      </c>
      <c r="F6">
        <v>3.0300000000000001E-2</v>
      </c>
      <c r="G6">
        <v>5.0000000000000001E-3</v>
      </c>
      <c r="H6">
        <v>3.0000000000000001E-3</v>
      </c>
      <c r="I6" s="2">
        <v>4.0000000000000001E-3</v>
      </c>
      <c r="K6">
        <v>0</v>
      </c>
      <c r="M6" s="7">
        <v>0</v>
      </c>
      <c r="N6">
        <v>2.2200000000000001E-2</v>
      </c>
      <c r="O6">
        <v>0</v>
      </c>
      <c r="P6">
        <v>0</v>
      </c>
      <c r="Q6" s="2">
        <v>6.1600000000000002E-2</v>
      </c>
      <c r="R6">
        <v>0</v>
      </c>
      <c r="S6">
        <v>0</v>
      </c>
      <c r="T6">
        <v>0.16980000000000001</v>
      </c>
      <c r="U6" s="2">
        <v>0</v>
      </c>
      <c r="V6" s="2">
        <v>0</v>
      </c>
      <c r="W6">
        <v>0</v>
      </c>
      <c r="X6">
        <v>0.46010000000000001</v>
      </c>
      <c r="Y6" s="2">
        <v>1.0200000000000001E-2</v>
      </c>
    </row>
    <row r="7" spans="1:25" x14ac:dyDescent="0.25">
      <c r="A7" s="2" t="s">
        <v>15</v>
      </c>
      <c r="B7">
        <v>5.79E-2</v>
      </c>
      <c r="C7">
        <v>3.2000000000000001E-2</v>
      </c>
      <c r="D7">
        <v>3.0300000000000001E-2</v>
      </c>
      <c r="E7" s="2">
        <v>3.7100000000000001E-2</v>
      </c>
      <c r="F7">
        <v>0.56000000000000005</v>
      </c>
      <c r="G7">
        <v>1.2E-2</v>
      </c>
      <c r="H7">
        <v>1.2999999999999999E-2</v>
      </c>
      <c r="I7" s="2">
        <v>8.0000000000000002E-3</v>
      </c>
      <c r="K7">
        <v>8.0000000000000002E-3</v>
      </c>
      <c r="L7">
        <v>6.0000000000000001E-3</v>
      </c>
      <c r="N7">
        <v>1.3100000000000001E-2</v>
      </c>
      <c r="O7">
        <v>0</v>
      </c>
      <c r="P7">
        <v>9.1999999999999998E-3</v>
      </c>
      <c r="Q7" s="2">
        <v>0</v>
      </c>
      <c r="R7">
        <v>1.5100000000000001E-2</v>
      </c>
      <c r="S7">
        <v>0</v>
      </c>
      <c r="T7">
        <v>0</v>
      </c>
      <c r="U7" s="2">
        <v>5.4000000000000003E-3</v>
      </c>
      <c r="V7" s="2">
        <v>6.3E-2</v>
      </c>
      <c r="W7">
        <v>0</v>
      </c>
      <c r="Y7" s="2">
        <v>0</v>
      </c>
    </row>
    <row r="8" spans="1:25" x14ac:dyDescent="0.25">
      <c r="A8" s="2" t="s">
        <v>16</v>
      </c>
      <c r="B8">
        <v>0.37680000000000002</v>
      </c>
      <c r="C8">
        <v>0.30620000000000003</v>
      </c>
      <c r="D8">
        <v>0.3926</v>
      </c>
      <c r="E8" s="2">
        <v>0.35010000000000002</v>
      </c>
      <c r="F8">
        <v>0.36499999999999999</v>
      </c>
      <c r="G8" s="61">
        <f>G3-SUM(G4:G7)</f>
        <v>0.435</v>
      </c>
      <c r="H8" s="61">
        <f>H3-SUM(H4:H7)</f>
        <v>0.48199999999999998</v>
      </c>
      <c r="I8" s="61">
        <f>I3-SUM(I4:I7)</f>
        <v>0.42699999999999999</v>
      </c>
      <c r="J8">
        <v>0.54400000000000004</v>
      </c>
      <c r="K8">
        <v>0.55500000000000005</v>
      </c>
      <c r="L8" s="61">
        <f>L3-SUM(L4:L7)</f>
        <v>0.70599999999999996</v>
      </c>
      <c r="M8" s="7">
        <v>0.68600000000000005</v>
      </c>
      <c r="N8">
        <v>0.31219999999999998</v>
      </c>
      <c r="O8">
        <v>0.26200000000000001</v>
      </c>
      <c r="P8">
        <v>0.37609999999999999</v>
      </c>
      <c r="Q8" s="2">
        <v>0.26390000000000002</v>
      </c>
      <c r="R8">
        <v>0.2964</v>
      </c>
      <c r="S8">
        <v>0.2041</v>
      </c>
      <c r="T8">
        <v>0.28549999999999998</v>
      </c>
      <c r="U8" s="2">
        <v>0.1956</v>
      </c>
      <c r="V8" s="2">
        <v>0.2349</v>
      </c>
      <c r="W8">
        <v>0.2082</v>
      </c>
      <c r="X8">
        <v>0.17849999999999999</v>
      </c>
      <c r="Y8" s="2">
        <v>0.16830000000000001</v>
      </c>
    </row>
    <row r="9" spans="1:25" s="5" customFormat="1" x14ac:dyDescent="0.25">
      <c r="A9" s="4"/>
      <c r="E9" s="4"/>
      <c r="I9" s="4"/>
      <c r="M9" s="6"/>
      <c r="U9" s="4"/>
      <c r="V9" s="4"/>
    </row>
    <row r="10" spans="1:25" x14ac:dyDescent="0.25">
      <c r="A10" s="2" t="s">
        <v>17</v>
      </c>
      <c r="G10">
        <v>6.1890000000000001</v>
      </c>
      <c r="H10">
        <v>6.1230000000000002</v>
      </c>
      <c r="I10" s="2">
        <v>5.4989999999999997</v>
      </c>
      <c r="J10">
        <v>9.7720000000000002</v>
      </c>
      <c r="K10">
        <v>10.178000000000001</v>
      </c>
      <c r="L10">
        <v>11.319000000000001</v>
      </c>
      <c r="Q10"/>
      <c r="V10" s="2"/>
      <c r="Y10"/>
    </row>
    <row r="11" spans="1:25" x14ac:dyDescent="0.25">
      <c r="A11" s="2" t="s">
        <v>8</v>
      </c>
      <c r="B11">
        <v>6.2431000000000001</v>
      </c>
      <c r="C11">
        <v>5.5125999999999999</v>
      </c>
      <c r="D11">
        <v>5.1340000000000003</v>
      </c>
      <c r="E11" s="2">
        <v>4.8597000000000001</v>
      </c>
      <c r="F11">
        <v>5.8215000000000003</v>
      </c>
      <c r="G11">
        <v>5.6310000000000002</v>
      </c>
      <c r="H11">
        <v>5.6289999999999996</v>
      </c>
      <c r="I11" s="2">
        <v>5.0960000000000001</v>
      </c>
      <c r="J11">
        <v>8.4480000000000004</v>
      </c>
      <c r="K11">
        <v>8.8019999999999996</v>
      </c>
      <c r="L11">
        <v>9.9060000000000006</v>
      </c>
      <c r="M11" s="7">
        <v>10.212999999999999</v>
      </c>
      <c r="N11">
        <f>5.7832-0.03</f>
        <v>5.7531999999999996</v>
      </c>
      <c r="O11">
        <v>6.6452999999999998</v>
      </c>
      <c r="P11">
        <v>7.4020000000000001</v>
      </c>
      <c r="Q11" s="2">
        <v>6.5152999999999999</v>
      </c>
      <c r="R11">
        <f>4.8728+0.0372</f>
        <v>4.91</v>
      </c>
      <c r="S11">
        <f>4.2579+0.0526</f>
        <v>4.3105000000000002</v>
      </c>
      <c r="T11">
        <v>5.5559000000000003</v>
      </c>
      <c r="U11" s="2">
        <f>4.9126+0.099</f>
        <v>5.0116000000000005</v>
      </c>
      <c r="V11" s="2">
        <v>3.2835000000000001</v>
      </c>
      <c r="W11">
        <v>2.7408000000000001</v>
      </c>
      <c r="X11">
        <v>1.7666999999999999</v>
      </c>
      <c r="Y11" s="2">
        <f>2.3004+0.0851</f>
        <v>2.3855</v>
      </c>
    </row>
    <row r="12" spans="1:25" x14ac:dyDescent="0.25">
      <c r="A12" s="2" t="s">
        <v>6</v>
      </c>
      <c r="B12">
        <v>0.90300000000000002</v>
      </c>
      <c r="C12">
        <v>8.1199999999999994E-2</v>
      </c>
      <c r="D12">
        <v>5.11E-2</v>
      </c>
      <c r="E12" s="2">
        <v>5.7000000000000002E-2</v>
      </c>
      <c r="F12">
        <v>1.78E-2</v>
      </c>
      <c r="G12">
        <v>3.2000000000000001E-2</v>
      </c>
      <c r="H12">
        <v>2.9000000000000001E-2</v>
      </c>
      <c r="I12" s="2">
        <v>1.7000000000000001E-2</v>
      </c>
      <c r="J12">
        <v>0.29099999999999998</v>
      </c>
      <c r="K12">
        <v>0.25</v>
      </c>
      <c r="L12">
        <v>0.30399999999999999</v>
      </c>
      <c r="M12" s="7">
        <v>2.5000000000000001E-2</v>
      </c>
      <c r="N12">
        <v>7.5700000000000003E-2</v>
      </c>
      <c r="O12">
        <v>0.22900000000000001</v>
      </c>
      <c r="P12">
        <v>0.154</v>
      </c>
      <c r="Q12" s="2">
        <v>7.9799999999999996E-2</v>
      </c>
      <c r="R12">
        <v>1.3299999999999999E-2</v>
      </c>
      <c r="S12">
        <v>6.8000000000000005E-2</v>
      </c>
      <c r="T12">
        <v>0.1133</v>
      </c>
      <c r="U12" s="2">
        <v>7.9500000000000001E-2</v>
      </c>
      <c r="V12" s="2">
        <v>0</v>
      </c>
      <c r="W12">
        <v>0</v>
      </c>
      <c r="X12">
        <v>6.1000000000000004E-3</v>
      </c>
      <c r="Y12" s="2">
        <v>0.38900000000000001</v>
      </c>
    </row>
    <row r="13" spans="1:25" x14ac:dyDescent="0.25">
      <c r="A13" s="2" t="s">
        <v>14</v>
      </c>
      <c r="B13">
        <v>3.7999999999999999E-2</v>
      </c>
      <c r="C13">
        <v>9.3600000000000003E-2</v>
      </c>
      <c r="D13">
        <v>5.8400000000000001E-2</v>
      </c>
      <c r="E13" s="2">
        <v>5.1799999999999999E-2</v>
      </c>
      <c r="F13">
        <v>0.15140000000000001</v>
      </c>
      <c r="G13">
        <v>0.46300000000000002</v>
      </c>
      <c r="H13">
        <v>0.40799999999999997</v>
      </c>
      <c r="I13" s="2">
        <v>0.29699999999999999</v>
      </c>
      <c r="J13">
        <v>0.98699999999999999</v>
      </c>
      <c r="K13">
        <v>0.95399999999999996</v>
      </c>
      <c r="L13">
        <v>0.94899999999999995</v>
      </c>
      <c r="M13" s="7">
        <v>2.4E-2</v>
      </c>
      <c r="N13">
        <f>1.3271+0.03</f>
        <v>1.3571</v>
      </c>
      <c r="O13">
        <v>1.0216000000000001</v>
      </c>
      <c r="P13">
        <v>1.1968000000000001</v>
      </c>
      <c r="Q13" s="2">
        <v>1.3744000000000001</v>
      </c>
      <c r="R13">
        <v>1.8807</v>
      </c>
      <c r="S13">
        <v>1.6970000000000001</v>
      </c>
      <c r="T13">
        <v>2.29</v>
      </c>
      <c r="U13" s="2">
        <v>2.0228000000000002</v>
      </c>
      <c r="V13" s="2">
        <v>1.5256000000000001</v>
      </c>
      <c r="W13">
        <v>0.54259999999999997</v>
      </c>
      <c r="X13">
        <v>1.6791</v>
      </c>
      <c r="Y13" s="2">
        <f>1.3384+1.3458</f>
        <v>2.6842000000000001</v>
      </c>
    </row>
    <row r="14" spans="1:25" x14ac:dyDescent="0.25">
      <c r="A14" s="2" t="s">
        <v>15</v>
      </c>
      <c r="B14">
        <v>8.4599999999999995E-2</v>
      </c>
      <c r="C14">
        <v>4.9099999999999998E-2</v>
      </c>
      <c r="D14">
        <v>0.01</v>
      </c>
      <c r="E14" s="2">
        <v>9.4999999999999998E-3</v>
      </c>
      <c r="F14">
        <v>0</v>
      </c>
      <c r="G14">
        <v>5.3999999999999999E-2</v>
      </c>
      <c r="H14">
        <v>5.1999999999999998E-2</v>
      </c>
      <c r="I14" s="2">
        <v>7.6999999999999999E-2</v>
      </c>
      <c r="J14">
        <v>0.01</v>
      </c>
      <c r="K14">
        <v>0.128</v>
      </c>
      <c r="L14">
        <v>0.14699999999999999</v>
      </c>
      <c r="M14" s="7">
        <v>0.13300000000000001</v>
      </c>
      <c r="N14">
        <v>9.7000000000000003E-2</v>
      </c>
      <c r="O14">
        <v>4.7399999999999998E-2</v>
      </c>
      <c r="P14">
        <v>7.8E-2</v>
      </c>
      <c r="Q14" s="2">
        <v>0.29310000000000003</v>
      </c>
      <c r="R14">
        <f>0.0641-0.0373</f>
        <v>2.6800000000000004E-2</v>
      </c>
      <c r="S14">
        <f>0.0451</f>
        <v>4.5100000000000001E-2</v>
      </c>
      <c r="T14">
        <v>1.9800000000000002E-2</v>
      </c>
      <c r="U14" s="2">
        <f>0.0874-0.099</f>
        <v>-1.1599999999999999E-2</v>
      </c>
      <c r="V14" s="2">
        <v>8.9800000000000005E-2</v>
      </c>
      <c r="W14">
        <v>0</v>
      </c>
      <c r="X14">
        <v>0.154</v>
      </c>
      <c r="Y14" s="2">
        <v>8.0600000000000005E-2</v>
      </c>
    </row>
    <row r="15" spans="1:25" x14ac:dyDescent="0.25">
      <c r="A15" s="2" t="s">
        <v>16</v>
      </c>
      <c r="B15">
        <v>3.3E-3</v>
      </c>
      <c r="C15">
        <v>1.2800000000000001E-2</v>
      </c>
      <c r="D15">
        <v>1.5800000000000002E-2</v>
      </c>
      <c r="E15" s="2">
        <v>0.01</v>
      </c>
      <c r="F15">
        <v>3.5000000000000001E-3</v>
      </c>
      <c r="G15">
        <v>6.0000000000000001E-3</v>
      </c>
      <c r="H15">
        <v>0</v>
      </c>
      <c r="I15" s="2">
        <v>5.0000000000000001E-3</v>
      </c>
      <c r="J15">
        <v>1.4E-2</v>
      </c>
      <c r="K15">
        <v>7.0000000000000001E-3</v>
      </c>
      <c r="L15">
        <v>1.0999999999999999E-2</v>
      </c>
      <c r="M15" s="7">
        <v>0</v>
      </c>
      <c r="N15">
        <v>0</v>
      </c>
      <c r="O15">
        <v>0</v>
      </c>
      <c r="P15">
        <v>9.7000000000000003E-3</v>
      </c>
      <c r="Q15" s="2">
        <v>2.0999999999999999E-3</v>
      </c>
      <c r="R15">
        <v>0</v>
      </c>
      <c r="S15">
        <v>2.3E-3</v>
      </c>
      <c r="T15">
        <v>4.8999999999999998E-3</v>
      </c>
      <c r="U15" s="2">
        <v>6.4000000000000003E-3</v>
      </c>
      <c r="V15" s="2">
        <v>0</v>
      </c>
      <c r="W15">
        <v>0</v>
      </c>
      <c r="X15">
        <v>0</v>
      </c>
      <c r="Y15" s="2">
        <v>0</v>
      </c>
    </row>
    <row r="16" spans="1:25" s="5" customFormat="1" x14ac:dyDescent="0.25">
      <c r="A16" s="4"/>
      <c r="E16" s="4"/>
      <c r="I16" s="4"/>
      <c r="M16" s="6"/>
      <c r="U16" s="4"/>
      <c r="V16" s="4"/>
    </row>
    <row r="17" spans="1:25" x14ac:dyDescent="0.25">
      <c r="A17" s="2" t="s">
        <v>18</v>
      </c>
      <c r="G17">
        <v>4.0910000000000002</v>
      </c>
      <c r="H17">
        <v>3.8079999999999998</v>
      </c>
      <c r="J17">
        <v>5.4240000000000004</v>
      </c>
      <c r="K17">
        <v>5.3570000000000002</v>
      </c>
      <c r="L17">
        <v>6.4329999999999998</v>
      </c>
      <c r="Q17"/>
      <c r="V17" s="2"/>
      <c r="Y17"/>
    </row>
    <row r="18" spans="1:25" x14ac:dyDescent="0.25">
      <c r="A18" s="2" t="s">
        <v>8</v>
      </c>
      <c r="B18">
        <v>1.8100000000000002E-2</v>
      </c>
      <c r="C18">
        <v>0.04</v>
      </c>
      <c r="D18">
        <v>3.09E-2</v>
      </c>
      <c r="E18" s="2">
        <v>1.52E-2</v>
      </c>
      <c r="F18">
        <v>1.14E-2</v>
      </c>
      <c r="G18">
        <v>0</v>
      </c>
      <c r="H18">
        <v>0</v>
      </c>
      <c r="I18" s="2">
        <v>0</v>
      </c>
      <c r="J18">
        <v>0</v>
      </c>
      <c r="K18">
        <v>0</v>
      </c>
      <c r="L18">
        <v>0</v>
      </c>
      <c r="M18" s="7">
        <v>0</v>
      </c>
      <c r="N18">
        <v>8.8999999999999999E-3</v>
      </c>
      <c r="O18">
        <v>1.6400000000000001E-2</v>
      </c>
      <c r="P18">
        <v>3.9899999999999998E-2</v>
      </c>
      <c r="Q18" s="2">
        <v>0</v>
      </c>
      <c r="R18">
        <v>0</v>
      </c>
      <c r="S18">
        <v>0</v>
      </c>
      <c r="T18">
        <v>6.7400000000000002E-2</v>
      </c>
      <c r="U18" s="2">
        <f>0.2249+0.0164</f>
        <v>0.24129999999999999</v>
      </c>
      <c r="V18" s="2">
        <v>0</v>
      </c>
      <c r="W18">
        <v>0.16200000000000001</v>
      </c>
      <c r="X18">
        <v>0</v>
      </c>
      <c r="Y18" s="2">
        <v>0.10489999999999999</v>
      </c>
    </row>
    <row r="19" spans="1:25" x14ac:dyDescent="0.25">
      <c r="A19" s="2" t="s">
        <v>6</v>
      </c>
      <c r="B19">
        <v>4.4222000000000001</v>
      </c>
      <c r="C19">
        <v>4.0736999999999997</v>
      </c>
      <c r="D19">
        <v>4.1729000000000003</v>
      </c>
      <c r="E19" s="2">
        <v>4.0833000000000004</v>
      </c>
      <c r="F19">
        <v>3.3433000000000002</v>
      </c>
      <c r="G19">
        <v>3.677</v>
      </c>
      <c r="H19">
        <v>3.5510000000000002</v>
      </c>
      <c r="I19" s="2">
        <v>3.2130000000000001</v>
      </c>
      <c r="J19">
        <v>4.6150000000000002</v>
      </c>
      <c r="K19">
        <v>4.6900000000000004</v>
      </c>
      <c r="L19">
        <v>5.4290000000000003</v>
      </c>
      <c r="M19" s="7">
        <v>5.98</v>
      </c>
      <c r="N19">
        <v>3.9363000000000001</v>
      </c>
      <c r="O19">
        <v>3.3668999999999998</v>
      </c>
      <c r="P19">
        <v>3.5954999999999999</v>
      </c>
      <c r="Q19" s="2">
        <v>3.8109000000000002</v>
      </c>
      <c r="R19">
        <v>2.9001000000000001</v>
      </c>
      <c r="S19">
        <v>2.8414999999999999</v>
      </c>
      <c r="T19">
        <v>2.677</v>
      </c>
      <c r="U19" s="2">
        <v>2.4470000000000001</v>
      </c>
      <c r="V19" s="2">
        <v>1.7109000000000001</v>
      </c>
      <c r="W19">
        <v>1.3492</v>
      </c>
      <c r="X19">
        <v>1.4185000000000001</v>
      </c>
      <c r="Y19" s="2">
        <v>1.5397000000000001</v>
      </c>
    </row>
    <row r="20" spans="1:25" x14ac:dyDescent="0.25">
      <c r="A20" s="2" t="s">
        <v>14</v>
      </c>
      <c r="B20">
        <v>1.5900000000000001E-2</v>
      </c>
      <c r="C20">
        <v>2.7300000000000001E-2</v>
      </c>
      <c r="D20">
        <v>3.0499999999999999E-2</v>
      </c>
      <c r="E20" s="2">
        <v>1.7899999999999999E-2</v>
      </c>
      <c r="F20">
        <v>6.4100000000000004E-2</v>
      </c>
      <c r="G20">
        <v>0.13200000000000001</v>
      </c>
      <c r="H20">
        <v>5.1999999999999998E-2</v>
      </c>
      <c r="I20" s="2">
        <v>0.14099999999999999</v>
      </c>
      <c r="J20">
        <f>0.178+0.016</f>
        <v>0.19400000000000001</v>
      </c>
      <c r="K20">
        <f>0.138+0.034</f>
        <v>0.17200000000000001</v>
      </c>
      <c r="L20">
        <f>0.298+0.02</f>
        <v>0.318</v>
      </c>
      <c r="M20" s="7">
        <v>0.28199999999999997</v>
      </c>
      <c r="N20">
        <v>0.56859999999999999</v>
      </c>
      <c r="O20">
        <v>0.4007</v>
      </c>
      <c r="P20">
        <v>0.2954</v>
      </c>
      <c r="Q20" s="2">
        <v>0.42030000000000001</v>
      </c>
      <c r="R20">
        <v>2.3993000000000002</v>
      </c>
      <c r="S20">
        <v>2.0533000000000001</v>
      </c>
      <c r="T20">
        <v>1.3050999999999999</v>
      </c>
      <c r="U20" s="2">
        <v>2.0303</v>
      </c>
      <c r="V20" s="2">
        <v>7.0654000000000003</v>
      </c>
      <c r="W20">
        <v>6.4729000000000001</v>
      </c>
      <c r="X20">
        <v>6.5023999999999997</v>
      </c>
      <c r="Y20" s="2">
        <v>4.0705</v>
      </c>
    </row>
    <row r="21" spans="1:25" x14ac:dyDescent="0.25">
      <c r="A21" s="2" t="s">
        <v>15</v>
      </c>
      <c r="B21">
        <v>8.6400000000000005E-2</v>
      </c>
      <c r="C21">
        <v>0.1028</v>
      </c>
      <c r="D21">
        <v>9.8100000000000007E-2</v>
      </c>
      <c r="E21" s="2">
        <v>8.1699999999999995E-2</v>
      </c>
      <c r="F21">
        <v>0.15129999999999999</v>
      </c>
      <c r="G21">
        <v>0.247</v>
      </c>
      <c r="H21">
        <v>0.17199999999999999</v>
      </c>
      <c r="I21" s="2">
        <v>0.153</v>
      </c>
      <c r="J21">
        <v>0.54900000000000004</v>
      </c>
      <c r="K21">
        <v>0.48199999999999998</v>
      </c>
      <c r="L21">
        <v>0.61199999999999999</v>
      </c>
      <c r="M21" s="7">
        <v>0.58699999999999997</v>
      </c>
      <c r="N21">
        <v>0.37709999999999999</v>
      </c>
      <c r="O21">
        <f>0.8184-0.0164</f>
        <v>0.80200000000000005</v>
      </c>
      <c r="P21">
        <v>0.52259999999999995</v>
      </c>
      <c r="Q21" s="2">
        <v>0.28420000000000001</v>
      </c>
      <c r="R21">
        <v>0.66249999999999998</v>
      </c>
      <c r="S21">
        <v>0.41089999999999999</v>
      </c>
      <c r="T21">
        <v>0.81089999999999995</v>
      </c>
      <c r="U21" s="2">
        <v>0.69830000000000003</v>
      </c>
      <c r="V21" s="2">
        <v>2.0548999999999999</v>
      </c>
      <c r="W21">
        <v>1.9632000000000001</v>
      </c>
      <c r="X21">
        <v>1.7681</v>
      </c>
      <c r="Y21" s="2">
        <v>1.5230999999999999</v>
      </c>
    </row>
    <row r="22" spans="1:25" x14ac:dyDescent="0.25">
      <c r="A22" s="2" t="s">
        <v>16</v>
      </c>
      <c r="B22">
        <v>7.4999999999999997E-3</v>
      </c>
      <c r="C22">
        <v>2.1399999999999999E-2</v>
      </c>
      <c r="D22">
        <v>2.5600000000000001E-2</v>
      </c>
      <c r="E22" s="2">
        <v>1.8800000000000001E-2</v>
      </c>
      <c r="F22">
        <v>1.5699999999999999E-2</v>
      </c>
      <c r="G22">
        <v>2.9000000000000001E-2</v>
      </c>
      <c r="H22">
        <v>2.9000000000000001E-2</v>
      </c>
      <c r="I22" s="2">
        <v>0.03</v>
      </c>
      <c r="J22">
        <v>6.2E-2</v>
      </c>
      <c r="K22">
        <v>3.6999999999999998E-2</v>
      </c>
      <c r="L22">
        <v>7.9000000000000001E-2</v>
      </c>
      <c r="M22" s="7">
        <v>8.2000000000000003E-2</v>
      </c>
      <c r="N22">
        <v>2.6599999999999999E-2</v>
      </c>
      <c r="O22">
        <v>3.4599999999999999E-2</v>
      </c>
      <c r="P22">
        <v>5.16E-2</v>
      </c>
      <c r="Q22" s="2">
        <v>3.8399999999999997E-2</v>
      </c>
      <c r="R22">
        <v>1.2E-2</v>
      </c>
      <c r="S22">
        <v>1.06E-2</v>
      </c>
      <c r="T22">
        <v>1.55E-2</v>
      </c>
      <c r="U22" s="2">
        <v>3.1099999999999999E-2</v>
      </c>
      <c r="V22" s="2">
        <v>5.0000000000000001E-3</v>
      </c>
      <c r="W22">
        <v>0</v>
      </c>
      <c r="X22">
        <v>0</v>
      </c>
      <c r="Y22" s="2">
        <v>5.6099999999999997E-2</v>
      </c>
    </row>
    <row r="24" spans="1:25" x14ac:dyDescent="0.25">
      <c r="A24" s="2" t="s">
        <v>19</v>
      </c>
      <c r="B24">
        <f>SUM(B25:B27)</f>
        <v>12.395800000000001</v>
      </c>
      <c r="C24">
        <f t="shared" ref="C24:Y24" si="0">SUM(C25:C27)</f>
        <v>10.393600000000001</v>
      </c>
      <c r="D24">
        <f t="shared" si="0"/>
        <v>10.0824</v>
      </c>
      <c r="E24">
        <f t="shared" si="0"/>
        <v>9.6368000000000009</v>
      </c>
      <c r="F24">
        <f t="shared" si="0"/>
        <v>10.571000000000002</v>
      </c>
      <c r="G24">
        <f t="shared" si="0"/>
        <v>10.723000000000001</v>
      </c>
      <c r="H24">
        <f t="shared" si="0"/>
        <v>10.431999999999999</v>
      </c>
      <c r="I24">
        <f t="shared" si="0"/>
        <v>9.468</v>
      </c>
      <c r="J24">
        <f t="shared" si="0"/>
        <v>15.714000000000002</v>
      </c>
      <c r="K24">
        <f t="shared" si="0"/>
        <v>16.09</v>
      </c>
      <c r="L24">
        <f t="shared" si="0"/>
        <v>18.491</v>
      </c>
      <c r="M24">
        <f t="shared" si="0"/>
        <v>18.012</v>
      </c>
      <c r="N24">
        <f t="shared" si="0"/>
        <v>12.6265</v>
      </c>
      <c r="O24">
        <f t="shared" si="0"/>
        <v>12.991600000000002</v>
      </c>
      <c r="P24">
        <f t="shared" si="0"/>
        <v>13.8231</v>
      </c>
      <c r="Q24">
        <f t="shared" si="0"/>
        <v>13.247900000000001</v>
      </c>
      <c r="R24">
        <f t="shared" si="0"/>
        <v>13.116199999999999</v>
      </c>
      <c r="S24">
        <f t="shared" si="0"/>
        <v>11.690300000000001</v>
      </c>
      <c r="T24">
        <f t="shared" si="0"/>
        <v>13.373900000000003</v>
      </c>
      <c r="U24">
        <f t="shared" si="0"/>
        <v>12.784200000000002</v>
      </c>
      <c r="V24">
        <f t="shared" si="0"/>
        <v>16.033000000000001</v>
      </c>
      <c r="W24">
        <f t="shared" si="0"/>
        <v>13.4678</v>
      </c>
      <c r="X24">
        <f t="shared" si="0"/>
        <v>13.9335</v>
      </c>
      <c r="Y24">
        <f t="shared" si="0"/>
        <v>13.0121</v>
      </c>
    </row>
    <row r="25" spans="1:25" x14ac:dyDescent="0.25">
      <c r="A25" s="2" t="s">
        <v>12</v>
      </c>
      <c r="B25">
        <f>SUM(B4:B8)</f>
        <v>0.5737000000000001</v>
      </c>
      <c r="C25">
        <f t="shared" ref="C25:Y25" si="1">SUM(C4:C8)</f>
        <v>0.37909999999999999</v>
      </c>
      <c r="D25">
        <f t="shared" si="1"/>
        <v>0.4551</v>
      </c>
      <c r="E25">
        <f t="shared" si="1"/>
        <v>0.43190000000000006</v>
      </c>
      <c r="F25">
        <f t="shared" si="1"/>
        <v>0.9910000000000001</v>
      </c>
      <c r="G25">
        <f t="shared" si="1"/>
        <v>0.45200000000000001</v>
      </c>
      <c r="H25">
        <f t="shared" si="1"/>
        <v>0.51</v>
      </c>
      <c r="I25">
        <f t="shared" si="1"/>
        <v>0.439</v>
      </c>
      <c r="J25">
        <f t="shared" si="1"/>
        <v>0.54400000000000004</v>
      </c>
      <c r="K25">
        <f t="shared" si="1"/>
        <v>0.56800000000000006</v>
      </c>
      <c r="L25">
        <f t="shared" si="1"/>
        <v>0.73599999999999999</v>
      </c>
      <c r="M25">
        <f t="shared" si="1"/>
        <v>0.68600000000000005</v>
      </c>
      <c r="N25">
        <f t="shared" si="1"/>
        <v>0.42599999999999999</v>
      </c>
      <c r="O25">
        <f t="shared" si="1"/>
        <v>0.42770000000000002</v>
      </c>
      <c r="P25">
        <f t="shared" si="1"/>
        <v>0.47759999999999997</v>
      </c>
      <c r="Q25">
        <f t="shared" si="1"/>
        <v>0.4294</v>
      </c>
      <c r="R25">
        <f t="shared" si="1"/>
        <v>0.3115</v>
      </c>
      <c r="S25">
        <f t="shared" si="1"/>
        <v>0.25109999999999999</v>
      </c>
      <c r="T25">
        <f t="shared" si="1"/>
        <v>0.5141</v>
      </c>
      <c r="U25">
        <f t="shared" si="1"/>
        <v>0.22749999999999998</v>
      </c>
      <c r="V25">
        <f t="shared" si="1"/>
        <v>0.2979</v>
      </c>
      <c r="W25">
        <f t="shared" si="1"/>
        <v>0.23710000000000001</v>
      </c>
      <c r="X25">
        <f t="shared" si="1"/>
        <v>0.63860000000000006</v>
      </c>
      <c r="Y25">
        <f t="shared" si="1"/>
        <v>0.17849999999999999</v>
      </c>
    </row>
    <row r="26" spans="1:25" x14ac:dyDescent="0.25">
      <c r="A26" s="2" t="s">
        <v>17</v>
      </c>
      <c r="B26">
        <f>SUM(B11:B15)</f>
        <v>7.2720000000000011</v>
      </c>
      <c r="C26">
        <f t="shared" ref="C26:Y26" si="2">SUM(C11:C15)</f>
        <v>5.7493000000000007</v>
      </c>
      <c r="D26">
        <f t="shared" si="2"/>
        <v>5.2692999999999994</v>
      </c>
      <c r="E26">
        <f t="shared" si="2"/>
        <v>4.9880000000000004</v>
      </c>
      <c r="F26">
        <f t="shared" si="2"/>
        <v>5.9942000000000002</v>
      </c>
      <c r="G26">
        <f t="shared" si="2"/>
        <v>6.1860000000000008</v>
      </c>
      <c r="H26">
        <f t="shared" si="2"/>
        <v>6.1179999999999994</v>
      </c>
      <c r="I26">
        <f t="shared" si="2"/>
        <v>5.492</v>
      </c>
      <c r="J26">
        <f t="shared" si="2"/>
        <v>9.75</v>
      </c>
      <c r="K26">
        <f t="shared" si="2"/>
        <v>10.141</v>
      </c>
      <c r="L26">
        <f t="shared" si="2"/>
        <v>11.317</v>
      </c>
      <c r="M26">
        <f t="shared" si="2"/>
        <v>10.395</v>
      </c>
      <c r="N26">
        <f t="shared" si="2"/>
        <v>7.2830000000000004</v>
      </c>
      <c r="O26">
        <f t="shared" si="2"/>
        <v>7.9432999999999998</v>
      </c>
      <c r="P26">
        <f t="shared" si="2"/>
        <v>8.8405000000000005</v>
      </c>
      <c r="Q26">
        <f t="shared" si="2"/>
        <v>8.2647000000000013</v>
      </c>
      <c r="R26">
        <f t="shared" si="2"/>
        <v>6.8308</v>
      </c>
      <c r="S26">
        <f t="shared" si="2"/>
        <v>6.1228999999999996</v>
      </c>
      <c r="T26">
        <f t="shared" si="2"/>
        <v>7.9839000000000002</v>
      </c>
      <c r="U26">
        <f t="shared" si="2"/>
        <v>7.1087000000000016</v>
      </c>
      <c r="V26">
        <f t="shared" si="2"/>
        <v>4.8989000000000003</v>
      </c>
      <c r="W26">
        <f t="shared" si="2"/>
        <v>3.2834000000000003</v>
      </c>
      <c r="X26">
        <f t="shared" si="2"/>
        <v>3.6059000000000001</v>
      </c>
      <c r="Y26">
        <f t="shared" si="2"/>
        <v>5.5393000000000008</v>
      </c>
    </row>
    <row r="27" spans="1:25" x14ac:dyDescent="0.25">
      <c r="A27" s="2" t="s">
        <v>18</v>
      </c>
      <c r="B27">
        <f>SUM(B18:B22)</f>
        <v>4.5501000000000005</v>
      </c>
      <c r="C27">
        <f t="shared" ref="C27:Y27" si="3">SUM(C18:C22)</f>
        <v>4.2652000000000001</v>
      </c>
      <c r="D27">
        <f t="shared" si="3"/>
        <v>4.3579999999999997</v>
      </c>
      <c r="E27">
        <f t="shared" si="3"/>
        <v>4.2168999999999999</v>
      </c>
      <c r="F27">
        <f t="shared" si="3"/>
        <v>3.5857999999999999</v>
      </c>
      <c r="G27">
        <f t="shared" si="3"/>
        <v>4.085</v>
      </c>
      <c r="H27">
        <f t="shared" si="3"/>
        <v>3.8040000000000003</v>
      </c>
      <c r="I27">
        <f t="shared" si="3"/>
        <v>3.5369999999999999</v>
      </c>
      <c r="J27">
        <f t="shared" si="3"/>
        <v>5.4200000000000008</v>
      </c>
      <c r="K27">
        <f t="shared" si="3"/>
        <v>5.3810000000000002</v>
      </c>
      <c r="L27">
        <f t="shared" si="3"/>
        <v>6.4379999999999997</v>
      </c>
      <c r="M27">
        <f t="shared" si="3"/>
        <v>6.931</v>
      </c>
      <c r="N27">
        <f t="shared" si="3"/>
        <v>4.9175000000000004</v>
      </c>
      <c r="O27">
        <f t="shared" si="3"/>
        <v>4.6206000000000005</v>
      </c>
      <c r="P27">
        <f t="shared" si="3"/>
        <v>4.504999999999999</v>
      </c>
      <c r="Q27">
        <f t="shared" si="3"/>
        <v>4.5538000000000007</v>
      </c>
      <c r="R27">
        <f t="shared" si="3"/>
        <v>5.9738999999999995</v>
      </c>
      <c r="S27">
        <f t="shared" si="3"/>
        <v>5.3163</v>
      </c>
      <c r="T27">
        <f t="shared" si="3"/>
        <v>4.8759000000000006</v>
      </c>
      <c r="U27">
        <f t="shared" si="3"/>
        <v>5.4480000000000004</v>
      </c>
      <c r="V27">
        <f t="shared" si="3"/>
        <v>10.836200000000002</v>
      </c>
      <c r="W27">
        <f t="shared" si="3"/>
        <v>9.9473000000000003</v>
      </c>
      <c r="X27">
        <f t="shared" si="3"/>
        <v>9.6890000000000001</v>
      </c>
      <c r="Y27">
        <f t="shared" si="3"/>
        <v>7.2942999999999989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A7A9-53C7-43EF-960B-97108A7A8799}">
  <sheetPr codeName="Sheet19"/>
  <dimension ref="A1:Y24"/>
  <sheetViews>
    <sheetView workbookViewId="0"/>
  </sheetViews>
  <sheetFormatPr defaultColWidth="8.85546875" defaultRowHeight="15" x14ac:dyDescent="0.25"/>
  <cols>
    <col min="1" max="1" width="14.140625" style="2" bestFit="1" customWidth="1"/>
    <col min="2" max="2" width="8.85546875" style="16"/>
  </cols>
  <sheetData>
    <row r="1" spans="1:25" x14ac:dyDescent="0.25">
      <c r="B1" s="98" t="s">
        <v>0</v>
      </c>
      <c r="C1" s="98"/>
      <c r="D1" s="98"/>
      <c r="E1" s="98"/>
      <c r="F1" s="98" t="s">
        <v>1</v>
      </c>
      <c r="G1" s="98"/>
      <c r="H1" s="98"/>
      <c r="I1" s="98"/>
      <c r="J1" s="98" t="s">
        <v>2</v>
      </c>
      <c r="K1" s="98"/>
      <c r="L1" s="98"/>
      <c r="M1" s="98"/>
      <c r="N1" s="98" t="s">
        <v>3</v>
      </c>
      <c r="O1" s="98"/>
      <c r="P1" s="98"/>
      <c r="Q1" s="98"/>
      <c r="R1" s="98" t="s">
        <v>4</v>
      </c>
      <c r="S1" s="98"/>
      <c r="T1" s="98"/>
      <c r="U1" s="98"/>
      <c r="V1" s="98" t="s">
        <v>5</v>
      </c>
      <c r="W1" s="98"/>
      <c r="X1" s="98"/>
      <c r="Y1" s="98"/>
    </row>
    <row r="2" spans="1:25" x14ac:dyDescent="0.25">
      <c r="B2" s="16" t="s">
        <v>6</v>
      </c>
      <c r="C2" t="s">
        <v>7</v>
      </c>
      <c r="D2" t="s">
        <v>8</v>
      </c>
      <c r="E2" t="s">
        <v>9</v>
      </c>
      <c r="F2" s="16" t="s">
        <v>6</v>
      </c>
      <c r="G2" t="s">
        <v>7</v>
      </c>
      <c r="H2" t="s">
        <v>8</v>
      </c>
      <c r="I2" t="s">
        <v>9</v>
      </c>
      <c r="J2" s="16" t="s">
        <v>6</v>
      </c>
      <c r="K2" t="s">
        <v>7</v>
      </c>
      <c r="L2" t="s">
        <v>8</v>
      </c>
      <c r="M2" t="s">
        <v>9</v>
      </c>
      <c r="N2" s="16" t="s">
        <v>6</v>
      </c>
      <c r="O2" t="s">
        <v>7</v>
      </c>
      <c r="P2" t="s">
        <v>8</v>
      </c>
      <c r="Q2" t="s">
        <v>9</v>
      </c>
      <c r="R2" s="16" t="s">
        <v>6</v>
      </c>
      <c r="S2" t="s">
        <v>7</v>
      </c>
      <c r="T2" t="s">
        <v>8</v>
      </c>
      <c r="U2" t="s">
        <v>9</v>
      </c>
      <c r="V2" s="16" t="s">
        <v>6</v>
      </c>
      <c r="W2" t="s">
        <v>7</v>
      </c>
      <c r="X2" t="s">
        <v>8</v>
      </c>
      <c r="Y2" t="s">
        <v>9</v>
      </c>
    </row>
    <row r="3" spans="1:25" s="9" customFormat="1" x14ac:dyDescent="0.25">
      <c r="A3" s="13" t="s">
        <v>19</v>
      </c>
      <c r="B3" s="21">
        <f>('R0025_Gen1'!B24/'R0025_Gen1'!B24)*100</f>
        <v>100</v>
      </c>
      <c r="C3" s="21">
        <f>('R0025_Gen1'!C24/'R0025_Gen1'!C24)*100</f>
        <v>100</v>
      </c>
      <c r="D3" s="21">
        <f>('R0025_Gen1'!D24/'R0025_Gen1'!D24)*100</f>
        <v>100</v>
      </c>
      <c r="E3" s="21">
        <f>('R0025_Gen1'!E24/'R0025_Gen1'!E24)*100</f>
        <v>100</v>
      </c>
      <c r="F3" s="21">
        <f>('R0025_Gen1'!F24/'R0025_Gen1'!F24)*100</f>
        <v>100</v>
      </c>
      <c r="G3" s="21">
        <f>('R0025_Gen1'!G24/'R0025_Gen1'!G24)*100</f>
        <v>100</v>
      </c>
      <c r="H3" s="21">
        <f>('R0025_Gen1'!H24/'R0025_Gen1'!H24)*100</f>
        <v>100</v>
      </c>
      <c r="I3" s="21">
        <f>('R0025_Gen1'!I24/'R0025_Gen1'!I24)*100</f>
        <v>100</v>
      </c>
      <c r="J3" s="21">
        <f>('R0025_Gen1'!J24/'R0025_Gen1'!J24)*100</f>
        <v>100</v>
      </c>
      <c r="K3" s="21">
        <f>('R0025_Gen1'!K24/'R0025_Gen1'!K24)*100</f>
        <v>100</v>
      </c>
      <c r="L3" s="21">
        <f>('R0025_Gen1'!L24/'R0025_Gen1'!L24)*100</f>
        <v>100</v>
      </c>
      <c r="M3" s="21">
        <f>('R0025_Gen1'!M24/'R0025_Gen1'!M24)*100</f>
        <v>100</v>
      </c>
      <c r="N3" s="21">
        <f>('R0025_Gen1'!N24/'R0025_Gen1'!N24)*100</f>
        <v>100</v>
      </c>
      <c r="O3" s="21">
        <f>('R0025_Gen1'!O24/'R0025_Gen1'!O24)*100</f>
        <v>100</v>
      </c>
      <c r="P3" s="21">
        <f>('R0025_Gen1'!P24/'R0025_Gen1'!P24)*100</f>
        <v>100</v>
      </c>
      <c r="Q3" s="21">
        <f>('R0025_Gen1'!Q24/'R0025_Gen1'!Q24)*100</f>
        <v>100</v>
      </c>
      <c r="R3" s="21">
        <f>('R0025_Gen1'!R24/'R0025_Gen1'!R24)*100</f>
        <v>100</v>
      </c>
      <c r="S3" s="21">
        <f>('R0025_Gen1'!S24/'R0025_Gen1'!S24)*100</f>
        <v>100</v>
      </c>
      <c r="T3" s="21">
        <f>('R0025_Gen1'!T24/'R0025_Gen1'!T24)*100</f>
        <v>100</v>
      </c>
      <c r="U3" s="21">
        <f>('R0025_Gen1'!U24/'R0025_Gen1'!U24)*100</f>
        <v>100</v>
      </c>
      <c r="V3" s="21">
        <f>('R0025_Gen1'!V24/'R0025_Gen1'!V24)*100</f>
        <v>100</v>
      </c>
      <c r="W3" s="21">
        <f>('R0025_Gen1'!W24/'R0025_Gen1'!W24)*100</f>
        <v>100</v>
      </c>
      <c r="X3" s="21">
        <f>('R0025_Gen1'!X24/'R0025_Gen1'!X24)*100</f>
        <v>100</v>
      </c>
      <c r="Y3" s="21">
        <f>('R0025_Gen1'!Y24/'R0025_Gen1'!Y24)*100</f>
        <v>100</v>
      </c>
    </row>
    <row r="4" spans="1:25" s="24" customFormat="1" x14ac:dyDescent="0.25">
      <c r="A4" s="22" t="s">
        <v>12</v>
      </c>
      <c r="B4" s="23">
        <f>('R0025_Gen1'!B25/'R0025_Gen1'!$B$24)*100</f>
        <v>4.6281805127543203</v>
      </c>
      <c r="C4" s="23">
        <f>('R0025_Gen1'!C25/'R0025_Gen1'!$C$24)*100</f>
        <v>3.6474368842364524</v>
      </c>
      <c r="D4" s="23">
        <f>('R0025_Gen1'!D25/'R0025_Gen1'!$D$24)*100</f>
        <v>4.5138062366103311</v>
      </c>
      <c r="E4" s="23">
        <f>('R0025_Gen1'!E25/'R0025_Gen1'!$E$24)*100</f>
        <v>4.4817781836294213</v>
      </c>
      <c r="F4" s="23">
        <f>('R0025_Gen1'!F25/'R0025_Gen1'!$F$24)*100</f>
        <v>9.3747043799072927</v>
      </c>
      <c r="G4" s="23">
        <f>('R0025_Gen1'!G25/'R0025_Gen1'!$G$24)*100</f>
        <v>4.2152382728713977</v>
      </c>
      <c r="H4" s="23">
        <f>('R0025_Gen1'!H25/'R0025_Gen1'!$H$24)*100</f>
        <v>4.8888036809815958</v>
      </c>
      <c r="I4" s="23">
        <f>('R0025_Gen1'!I25/'R0025_Gen1'!$I$24)*100</f>
        <v>4.6366708914237424</v>
      </c>
      <c r="J4" s="23">
        <f>('R0025_Gen1'!J25/'R0025_Gen1'!$J$24)*100</f>
        <v>3.4618811251113657</v>
      </c>
      <c r="K4" s="23">
        <f>('R0025_Gen1'!K25/'R0025_Gen1'!$K$24)*100</f>
        <v>3.5301429459291489</v>
      </c>
      <c r="L4" s="23">
        <f>('R0025_Gen1'!L25/'R0025_Gen1'!$L$24)*100</f>
        <v>3.9803147477151044</v>
      </c>
      <c r="M4" s="23">
        <f>('R0025_Gen1'!M25/'R0025_Gen1'!$M$24)*100</f>
        <v>3.8085720630690654</v>
      </c>
      <c r="N4" s="23">
        <f>('R0025_Gen1'!N25/'R0025_Gen1'!$N$24)*100</f>
        <v>3.3738565714964559</v>
      </c>
      <c r="O4" s="23">
        <f>('R0025_Gen1'!O25/'R0025_Gen1'!$O$24)*100</f>
        <v>3.2921272206656602</v>
      </c>
      <c r="P4" s="23">
        <f>('R0025_Gen1'!P25/'R0025_Gen1'!$P$24)*100</f>
        <v>3.4550860516092623</v>
      </c>
      <c r="Q4" s="23">
        <f>('R0025_Gen1'!Q25/'R0025_Gen1'!$Q$24)*100</f>
        <v>3.2412684274488783</v>
      </c>
      <c r="R4" s="23">
        <f>('R0025_Gen1'!R25/'R0025_Gen1'!$R$24)*100</f>
        <v>2.3749256644454952</v>
      </c>
      <c r="S4" s="23">
        <f>('R0025_Gen1'!S25/'R0025_Gen1'!$S$24)*100</f>
        <v>2.1479346124564809</v>
      </c>
      <c r="T4" s="23">
        <f>('R0025_Gen1'!T25/'R0025_Gen1'!$T$24)*100</f>
        <v>3.8440544642923893</v>
      </c>
      <c r="U4" s="23">
        <f>('R0025_Gen1'!U25/'R0025_Gen1'!$U$24)*100</f>
        <v>1.7795403701443966</v>
      </c>
      <c r="V4" s="23">
        <f>('R0025_Gen1'!V25/'R0025_Gen1'!$V$24)*100</f>
        <v>1.858042786752323</v>
      </c>
      <c r="W4" s="23">
        <f>('R0025_Gen1'!W25/'R0025_Gen1'!$W$24)*100</f>
        <v>1.7604954038521512</v>
      </c>
      <c r="X4" s="23">
        <f>('R0025_Gen1'!X25/'R0025_Gen1'!$X$24)*100</f>
        <v>4.5831987655650055</v>
      </c>
      <c r="Y4" s="23">
        <f>('R0025_Gen1'!Y25/'R0025_Gen1'!$Y$24)*100</f>
        <v>1.3718000937588859</v>
      </c>
    </row>
    <row r="5" spans="1:25" x14ac:dyDescent="0.25">
      <c r="A5" s="2" t="s">
        <v>8</v>
      </c>
      <c r="B5" s="16">
        <f>('R0025_Gen1'!B4/'R0025_Gen1'!$B$24)*100</f>
        <v>4.2756417496248728E-2</v>
      </c>
      <c r="C5" s="16">
        <f>('R0025_Gen1'!C4/'R0025_Gen1'!$C$24)*100</f>
        <v>0.10968288177339901</v>
      </c>
      <c r="D5" s="16">
        <f>('R0025_Gen1'!D4/'R0025_Gen1'!$D$24)*100</f>
        <v>6.0501467904467192E-2</v>
      </c>
      <c r="E5" s="16">
        <f>('R0025_Gen1'!E4/'R0025_Gen1'!$E$24)*100</f>
        <v>7.4713597874813201E-2</v>
      </c>
      <c r="F5" s="16">
        <f>('R0025_Gen1'!F4/'R0025_Gen1'!$F$24)*100</f>
        <v>0.13716772301579791</v>
      </c>
      <c r="G5" s="25">
        <f>('R0025_Gen1'!G4/'R0025_Gen1'!$G$24)*100</f>
        <v>0</v>
      </c>
      <c r="H5" s="16">
        <f>('R0025_Gen1'!H4/'R0025_Gen1'!$H$24)*100</f>
        <v>8.6273006134969327E-2</v>
      </c>
      <c r="I5" s="16">
        <f>('R0025_Gen1'!I4/'R0025_Gen1'!$I$24)*100</f>
        <v>0</v>
      </c>
      <c r="J5" s="16">
        <f>('R0025_Gen1'!J4/'R0025_Gen1'!$J$24)*100</f>
        <v>0</v>
      </c>
      <c r="K5" s="16">
        <f>('R0025_Gen1'!K4/'R0025_Gen1'!$K$24)*100</f>
        <v>3.1075201988812931E-2</v>
      </c>
      <c r="L5" s="16">
        <f>('R0025_Gen1'!L4/'R0025_Gen1'!$L$24)*100</f>
        <v>9.7344654156075919E-2</v>
      </c>
      <c r="M5" s="16">
        <f>('R0025_Gen1'!M4/'R0025_Gen1'!$M$24)*100</f>
        <v>0</v>
      </c>
      <c r="N5" s="16">
        <f>('R0025_Gen1'!N4/'R0025_Gen1'!$N$24)*100</f>
        <v>0.38569674890112066</v>
      </c>
      <c r="O5" s="16">
        <f>('R0025_Gen1'!O4/'R0025_Gen1'!$O$24)*100</f>
        <v>0.77665568521198303</v>
      </c>
      <c r="P5" s="16">
        <f>('R0025_Gen1'!P4/'R0025_Gen1'!$P$24)*100</f>
        <v>0.3949909933372398</v>
      </c>
      <c r="Q5" s="16">
        <f>('R0025_Gen1'!Q4/'R0025_Gen1'!$Q$24)*100</f>
        <v>0.16002536251028462</v>
      </c>
      <c r="R5" s="16">
        <f>('R0025_Gen1'!R4/'R0025_Gen1'!$R$24)*100</f>
        <v>0</v>
      </c>
      <c r="S5" s="16">
        <f>('R0025_Gen1'!S4/'R0025_Gen1'!$S$24)*100</f>
        <v>0</v>
      </c>
      <c r="T5" s="16">
        <f>('R0025_Gen1'!T4/'R0025_Gen1'!$T$24)*100</f>
        <v>0.41050105055369035</v>
      </c>
      <c r="U5" s="16">
        <f>('R0025_Gen1'!U4/'R0025_Gen1'!$U$24)*100</f>
        <v>0</v>
      </c>
      <c r="V5" s="16">
        <f>('R0025_Gen1'!V4/'R0025_Gen1'!$V$24)*100</f>
        <v>0</v>
      </c>
      <c r="W5" s="25">
        <f>('R0025_Gen1'!W4/'R0025_Gen1'!$W$24)*100</f>
        <v>0</v>
      </c>
      <c r="X5" s="16">
        <f>('R0025_Gen1'!X4/'R0025_Gen1'!$X$24)*100</f>
        <v>0</v>
      </c>
      <c r="Y5" s="16">
        <f>('R0025_Gen1'!Y4/'R0025_Gen1'!$Y$24)*100</f>
        <v>0</v>
      </c>
    </row>
    <row r="6" spans="1:25" x14ac:dyDescent="0.25">
      <c r="A6" s="2" t="s">
        <v>6</v>
      </c>
      <c r="B6" s="16">
        <f>('R0025_Gen1'!B5/'R0025_Gen1'!$B$24)*100</f>
        <v>1.0035657238742153</v>
      </c>
      <c r="C6" s="16">
        <f>('R0025_Gen1'!C5/'R0025_Gen1'!$C$24)*100</f>
        <v>0.23860837438423643</v>
      </c>
      <c r="D6" s="16">
        <f>('R0025_Gen1'!D5/'R0025_Gen1'!$D$24)*100</f>
        <v>0.24398952630326115</v>
      </c>
      <c r="E6" s="16">
        <f>('R0025_Gen1'!E5/'R0025_Gen1'!$E$24)*100</f>
        <v>0.35281421218661796</v>
      </c>
      <c r="F6" s="16">
        <f>('R0025_Gen1'!F5/'R0025_Gen1'!$F$24)*100</f>
        <v>0.20054867089206319</v>
      </c>
      <c r="G6" s="25">
        <f>('R0025_Gen1'!G5/'R0025_Gen1'!$G$24)*100</f>
        <v>0</v>
      </c>
      <c r="H6" s="16">
        <f>('R0025_Gen1'!H5/'R0025_Gen1'!$H$24)*100</f>
        <v>2.8757668711656442E-2</v>
      </c>
      <c r="I6" s="16">
        <f>('R0025_Gen1'!I5/'R0025_Gen1'!$I$24)*100</f>
        <v>0</v>
      </c>
      <c r="J6" s="16">
        <f>('R0025_Gen1'!J5/'R0025_Gen1'!$J$24)*100</f>
        <v>0</v>
      </c>
      <c r="K6" s="25">
        <f>('R0025_Gen1'!K5/'R0025_Gen1'!$K$24)*100</f>
        <v>0</v>
      </c>
      <c r="L6" s="16">
        <f>('R0025_Gen1'!L5/'R0025_Gen1'!$L$24)*100</f>
        <v>3.2448218052025309E-2</v>
      </c>
      <c r="M6" s="16">
        <f>('R0025_Gen1'!M5/'R0025_Gen1'!$M$24)*100</f>
        <v>0</v>
      </c>
      <c r="N6" s="16">
        <f>('R0025_Gen1'!N5/'R0025_Gen1'!$N$24)*100</f>
        <v>0.23601156298261594</v>
      </c>
      <c r="O6" s="16">
        <f>('R0025_Gen1'!O5/'R0025_Gen1'!$O$24)*100</f>
        <v>0.49878382955140232</v>
      </c>
      <c r="P6" s="16">
        <f>('R0025_Gen1'!P5/'R0025_Gen1'!$P$24)*100</f>
        <v>0.27273187635190371</v>
      </c>
      <c r="Q6" s="16">
        <f>('R0025_Gen1'!Q5/'R0025_Gen1'!$Q$24)*100</f>
        <v>0.62424988111323299</v>
      </c>
      <c r="R6" s="16">
        <f>('R0025_Gen1'!R5/'R0025_Gen1'!$R$24)*100</f>
        <v>0</v>
      </c>
      <c r="S6" s="16">
        <f>('R0025_Gen1'!S5/'R0025_Gen1'!$S$24)*100</f>
        <v>0.40204271917743767</v>
      </c>
      <c r="T6" s="16">
        <f>('R0025_Gen1'!T5/'R0025_Gen1'!$T$24)*100</f>
        <v>2.9161276815289478E-2</v>
      </c>
      <c r="U6" s="16">
        <f>('R0025_Gen1'!U5/'R0025_Gen1'!$U$24)*100</f>
        <v>0.20728712003879785</v>
      </c>
      <c r="V6" s="16">
        <f>('R0025_Gen1'!V5/'R0025_Gen1'!$V$24)*100</f>
        <v>0</v>
      </c>
      <c r="W6" s="16">
        <f>('R0025_Gen1'!W5/'R0025_Gen1'!$W$24)*100</f>
        <v>0.21458590118653381</v>
      </c>
      <c r="X6" s="16">
        <f>('R0025_Gen1'!X5/'R0025_Gen1'!$X$24)*100</f>
        <v>0</v>
      </c>
      <c r="Y6" s="16">
        <f>('R0025_Gen1'!Y5/'R0025_Gen1'!$Y$24)*100</f>
        <v>0</v>
      </c>
    </row>
    <row r="7" spans="1:25" x14ac:dyDescent="0.25">
      <c r="A7" s="2" t="s">
        <v>14</v>
      </c>
      <c r="B7" s="16">
        <f>('R0025_Gen1'!B6/'R0025_Gen1'!$B$24)*100</f>
        <v>7.5025411833040206E-2</v>
      </c>
      <c r="C7" s="16">
        <f>('R0025_Gen1'!C6/'R0025_Gen1'!$C$24)*100</f>
        <v>4.5220135467980295E-2</v>
      </c>
      <c r="D7" s="16">
        <f>('R0025_Gen1'!D6/'R0025_Gen1'!$D$24)*100</f>
        <v>1.4877410140442754E-2</v>
      </c>
      <c r="E7" s="16">
        <f>('R0025_Gen1'!E6/'R0025_Gen1'!$E$24)*100</f>
        <v>3.6319110078034199E-2</v>
      </c>
      <c r="F7" s="16">
        <f>('R0025_Gen1'!F6/'R0025_Gen1'!$F$24)*100</f>
        <v>0.28663324188818462</v>
      </c>
      <c r="G7" s="16">
        <f>('R0025_Gen1'!G6/'R0025_Gen1'!$G$24)*100</f>
        <v>4.6628741956542007E-2</v>
      </c>
      <c r="H7" s="16">
        <f>('R0025_Gen1'!H6/'R0025_Gen1'!$H$24)*100</f>
        <v>2.8757668711656442E-2</v>
      </c>
      <c r="I7" s="16">
        <f>('R0025_Gen1'!I6/'R0025_Gen1'!$I$24)*100</f>
        <v>4.2247570764681032E-2</v>
      </c>
      <c r="J7" s="16">
        <f>('R0025_Gen1'!J6/'R0025_Gen1'!$J$24)*100</f>
        <v>0</v>
      </c>
      <c r="K7" s="25">
        <f>('R0025_Gen1'!K6/'R0025_Gen1'!$K$24)*100</f>
        <v>0</v>
      </c>
      <c r="L7" s="16">
        <f>('R0025_Gen1'!L6/'R0025_Gen1'!$L$24)*100</f>
        <v>0</v>
      </c>
      <c r="M7" s="25">
        <f>('R0025_Gen1'!M6/'R0025_Gen1'!$M$24)*100</f>
        <v>0</v>
      </c>
      <c r="N7" s="16">
        <f>('R0025_Gen1'!N6/'R0025_Gen1'!$N$24)*100</f>
        <v>0.17582069457094207</v>
      </c>
      <c r="O7" s="16">
        <f>('R0025_Gen1'!O6/'R0025_Gen1'!$O$24)*100</f>
        <v>0</v>
      </c>
      <c r="P7" s="25">
        <f>('R0025_Gen1'!P6/'R0025_Gen1'!$P$24)*100</f>
        <v>0</v>
      </c>
      <c r="Q7" s="16">
        <f>('R0025_Gen1'!Q6/'R0025_Gen1'!$Q$24)*100</f>
        <v>0.46497935521856287</v>
      </c>
      <c r="R7">
        <f>('R0025_Gen1'!R6/'R0025_Gen1'!$R$24)*100</f>
        <v>0</v>
      </c>
      <c r="S7" s="16">
        <f>('R0025_Gen1'!S6/'R0025_Gen1'!$S$24)*100</f>
        <v>0</v>
      </c>
      <c r="T7" s="16">
        <f>('R0025_Gen1'!T6/'R0025_Gen1'!$T$24)*100</f>
        <v>1.2696371290349111</v>
      </c>
      <c r="U7" s="16">
        <f>('R0025_Gen1'!U6/'R0025_Gen1'!$U$24)*100</f>
        <v>0</v>
      </c>
      <c r="V7" s="16">
        <f>('R0025_Gen1'!V6/'R0025_Gen1'!$V$24)*100</f>
        <v>0</v>
      </c>
      <c r="W7" s="16">
        <f>('R0025_Gen1'!W6/'R0025_Gen1'!$W$24)*100</f>
        <v>0</v>
      </c>
      <c r="X7" s="16">
        <f>('R0025_Gen1'!X6/'R0025_Gen1'!$X$24)*100</f>
        <v>3.3021136110812073</v>
      </c>
      <c r="Y7" s="16">
        <f>('R0025_Gen1'!Y6/'R0025_Gen1'!$Y$24)*100</f>
        <v>7.8388576786222047E-2</v>
      </c>
    </row>
    <row r="8" spans="1:25" x14ac:dyDescent="0.25">
      <c r="A8" s="2" t="s">
        <v>15</v>
      </c>
      <c r="B8" s="16">
        <f>('R0025_Gen1'!B7/'R0025_Gen1'!$B$24)*100</f>
        <v>0.46709369302505682</v>
      </c>
      <c r="C8" s="16">
        <f>('R0025_Gen1'!C7/'R0025_Gen1'!$C$24)*100</f>
        <v>0.30788177339901474</v>
      </c>
      <c r="D8" s="16">
        <f>('R0025_Gen1'!D7/'R0025_Gen1'!$D$24)*100</f>
        <v>0.30052368483694358</v>
      </c>
      <c r="E8" s="16">
        <f>('R0025_Gen1'!E7/'R0025_Gen1'!$E$24)*100</f>
        <v>0.38498256682716248</v>
      </c>
      <c r="F8" s="16">
        <f>('R0025_Gen1'!F7/'R0025_Gen1'!$F$24)*100</f>
        <v>5.2975120612997824</v>
      </c>
      <c r="G8" s="16">
        <f>('R0025_Gen1'!G7/'R0025_Gen1'!$G$24)*100</f>
        <v>0.11190898069570081</v>
      </c>
      <c r="H8" s="16">
        <f>('R0025_Gen1'!H7/'R0025_Gen1'!$H$24)*100</f>
        <v>0.12461656441717793</v>
      </c>
      <c r="I8" s="16">
        <f>('R0025_Gen1'!I7/'R0025_Gen1'!$I$24)*100</f>
        <v>8.4495141529362064E-2</v>
      </c>
      <c r="J8" s="16">
        <f>('R0025_Gen1'!J7/'R0025_Gen1'!$J$24)*100</f>
        <v>0</v>
      </c>
      <c r="K8" s="16">
        <f>('R0025_Gen1'!K7/'R0025_Gen1'!$K$24)*100</f>
        <v>4.9720323182100686E-2</v>
      </c>
      <c r="L8" s="16">
        <f>('R0025_Gen1'!L7/'R0025_Gen1'!$L$24)*100</f>
        <v>3.2448218052025309E-2</v>
      </c>
      <c r="M8" s="16">
        <f>('R0025_Gen1'!M7/'R0025_Gen1'!$M$24)*100</f>
        <v>0</v>
      </c>
      <c r="N8" s="16">
        <f>('R0025_Gen1'!N7/'R0025_Gen1'!$N$24)*100</f>
        <v>0.10375004949906942</v>
      </c>
      <c r="O8" s="16">
        <f>('R0025_Gen1'!O7/'R0025_Gen1'!$O$24)*100</f>
        <v>0</v>
      </c>
      <c r="P8" s="16">
        <f>('R0025_Gen1'!P7/'R0025_Gen1'!$P$24)*100</f>
        <v>6.655525895059719E-2</v>
      </c>
      <c r="Q8" s="16">
        <f>('R0025_Gen1'!Q7/'R0025_Gen1'!$Q$24)*100</f>
        <v>0</v>
      </c>
      <c r="R8" s="16">
        <f>('R0025_Gen1'!R7/'R0025_Gen1'!$R$24)*100</f>
        <v>0.11512480748997424</v>
      </c>
      <c r="S8" s="25">
        <f>('R0025_Gen1'!S7/'R0025_Gen1'!$S$24)*100</f>
        <v>0</v>
      </c>
      <c r="T8" s="25">
        <f>('R0025_Gen1'!T7/'R0025_Gen1'!$T$24)*100</f>
        <v>0</v>
      </c>
      <c r="U8" s="16">
        <f>('R0025_Gen1'!U7/'R0025_Gen1'!$U$24)*100</f>
        <v>4.2239639555075793E-2</v>
      </c>
      <c r="V8" s="16">
        <f>('R0025_Gen1'!V7/'R0025_Gen1'!$V$24)*100</f>
        <v>0.39293956215305931</v>
      </c>
      <c r="W8" s="16">
        <f>('R0025_Gen1'!W7/'R0025_Gen1'!$W$24)*100</f>
        <v>0</v>
      </c>
      <c r="X8" s="16">
        <f>('R0025_Gen1'!X7/'R0025_Gen1'!$X$24)*100</f>
        <v>0</v>
      </c>
      <c r="Y8" s="16">
        <f>('R0025_Gen1'!Y7/'R0025_Gen1'!$Y$24)*100</f>
        <v>0</v>
      </c>
    </row>
    <row r="9" spans="1:25" x14ac:dyDescent="0.25">
      <c r="A9" s="2" t="s">
        <v>16</v>
      </c>
      <c r="B9" s="16">
        <f>('R0025_Gen1'!B8/'R0025_Gen1'!$B$24)*100</f>
        <v>3.0397392665257588</v>
      </c>
      <c r="C9" s="16">
        <f>('R0025_Gen1'!C8/'R0025_Gen1'!$C$24)*100</f>
        <v>2.9460437192118225</v>
      </c>
      <c r="D9" s="16">
        <f>('R0025_Gen1'!D8/'R0025_Gen1'!$D$24)*100</f>
        <v>3.8939141474252161</v>
      </c>
      <c r="E9" s="16">
        <f>('R0025_Gen1'!E8/'R0025_Gen1'!$E$24)*100</f>
        <v>3.6329486966627926</v>
      </c>
      <c r="F9" s="16">
        <f>('R0025_Gen1'!F8/'R0025_Gen1'!$F$24)*100</f>
        <v>3.4528426828114647</v>
      </c>
      <c r="G9" s="16">
        <f>('R0025_Gen1'!G8/'R0025_Gen1'!$G$24)*100</f>
        <v>4.0567005502191549</v>
      </c>
      <c r="H9" s="16">
        <f>('R0025_Gen1'!H8/'R0025_Gen1'!$H$24)*100</f>
        <v>4.6203987730061353</v>
      </c>
      <c r="I9" s="16">
        <f>('R0025_Gen1'!I8/'R0025_Gen1'!$I$24)*100</f>
        <v>4.5099281791296999</v>
      </c>
      <c r="J9" s="16">
        <f>('R0025_Gen1'!J8/'R0025_Gen1'!$J$24)*100</f>
        <v>3.4618811251113657</v>
      </c>
      <c r="K9" s="16">
        <f>('R0025_Gen1'!K8/'R0025_Gen1'!$K$24)*100</f>
        <v>3.4493474207582349</v>
      </c>
      <c r="L9" s="16">
        <f>('R0025_Gen1'!L8/'R0025_Gen1'!$L$24)*100</f>
        <v>3.8180736574549781</v>
      </c>
      <c r="M9" s="16">
        <f>('R0025_Gen1'!M8/'R0025_Gen1'!$M$24)*100</f>
        <v>3.8085720630690654</v>
      </c>
      <c r="N9" s="16">
        <f>('R0025_Gen1'!N8/'R0025_Gen1'!$N$24)*100</f>
        <v>2.4725775155427074</v>
      </c>
      <c r="O9" s="16">
        <f>('R0025_Gen1'!O8/'R0025_Gen1'!$O$24)*100</f>
        <v>2.016687705902275</v>
      </c>
      <c r="P9" s="16">
        <f>('R0025_Gen1'!P8/'R0025_Gen1'!$P$24)*100</f>
        <v>2.7208079229695219</v>
      </c>
      <c r="Q9" s="16">
        <f>('R0025_Gen1'!Q8/'R0025_Gen1'!$Q$24)*100</f>
        <v>1.9920138286067979</v>
      </c>
      <c r="R9" s="16">
        <f>('R0025_Gen1'!R8/'R0025_Gen1'!$R$24)*100</f>
        <v>2.2598008569555206</v>
      </c>
      <c r="S9" s="16">
        <f>('R0025_Gen1'!S8/'R0025_Gen1'!$S$24)*100</f>
        <v>1.7458918932790433</v>
      </c>
      <c r="T9" s="16">
        <f>('R0025_Gen1'!T8/'R0025_Gen1'!$T$24)*100</f>
        <v>2.1347550078884985</v>
      </c>
      <c r="U9" s="16">
        <f>('R0025_Gen1'!U8/'R0025_Gen1'!$U$24)*100</f>
        <v>1.5300136105505231</v>
      </c>
      <c r="V9" s="16">
        <f>('R0025_Gen1'!V8/'R0025_Gen1'!$V$24)*100</f>
        <v>1.4651032245992639</v>
      </c>
      <c r="W9" s="16">
        <f>('R0025_Gen1'!W8/'R0025_Gen1'!$W$24)*100</f>
        <v>1.5459095026656171</v>
      </c>
      <c r="X9" s="16">
        <f>('R0025_Gen1'!X8/'R0025_Gen1'!$X$24)*100</f>
        <v>1.281085154483798</v>
      </c>
      <c r="Y9" s="16">
        <f>('R0025_Gen1'!Y8/'R0025_Gen1'!$Y$24)*100</f>
        <v>1.2934115169726639</v>
      </c>
    </row>
    <row r="10" spans="1:25" s="10" customFormat="1" x14ac:dyDescent="0.25">
      <c r="A10" s="14" t="s">
        <v>20</v>
      </c>
      <c r="B10" s="18">
        <f>(('R0025_Gen1'!$B$26+'R0025_Gen1'!$B$27)/'R0025_Gen1'!$B$24)*100</f>
        <v>95.371819487245688</v>
      </c>
      <c r="C10" s="18">
        <f>(('R0025_Gen1'!$C$26+'R0025_Gen1'!$C$27)/'R0025_Gen1'!$C$24)*100</f>
        <v>96.352563115763559</v>
      </c>
      <c r="D10" s="18">
        <f>(('R0025_Gen1'!D26+'R0025_Gen1'!D27)/'R0025_Gen1'!D24)*100</f>
        <v>95.48619376338965</v>
      </c>
      <c r="E10" s="18">
        <f>(('R0025_Gen1'!E26+'R0025_Gen1'!E27)/'R0025_Gen1'!E24)*100</f>
        <v>95.51822181637057</v>
      </c>
      <c r="F10" s="18">
        <f>(('R0025_Gen1'!F26+'R0025_Gen1'!F27)/'R0025_Gen1'!F24)*100</f>
        <v>90.6252956200927</v>
      </c>
      <c r="G10" s="18">
        <f>(('R0025_Gen1'!G26+'R0025_Gen1'!G27)/'R0025_Gen1'!G24)*100</f>
        <v>95.784761727128597</v>
      </c>
      <c r="H10" s="18">
        <f>(('R0025_Gen1'!H26+'R0025_Gen1'!H27)/'R0025_Gen1'!H24)*100</f>
        <v>95.111196319018418</v>
      </c>
      <c r="I10" s="18">
        <f>(('R0025_Gen1'!I26+'R0025_Gen1'!I27)/'R0025_Gen1'!I24)*100</f>
        <v>95.363329108576252</v>
      </c>
      <c r="J10" s="18">
        <f>(('R0025_Gen1'!J26+'R0025_Gen1'!J27)/'R0025_Gen1'!J24)*100</f>
        <v>96.538118874888639</v>
      </c>
      <c r="K10" s="18">
        <f>(('R0025_Gen1'!K26+'R0025_Gen1'!K27)/'R0025_Gen1'!K24)*100</f>
        <v>96.469857054070857</v>
      </c>
      <c r="L10" s="18">
        <f>(('R0025_Gen1'!L26+'R0025_Gen1'!L27)/'R0025_Gen1'!L24)*100</f>
        <v>96.019685252284887</v>
      </c>
      <c r="M10" s="18">
        <f>(('R0025_Gen1'!M26+'R0025_Gen1'!M27)/'R0025_Gen1'!M24)*100</f>
        <v>96.191427936930936</v>
      </c>
      <c r="N10" s="18">
        <f>(('R0025_Gen1'!N26+'R0025_Gen1'!N27)/'R0025_Gen1'!N24)*100</f>
        <v>96.626143428503553</v>
      </c>
      <c r="O10" s="18">
        <f>(('R0025_Gen1'!O26+'R0025_Gen1'!O27)/'R0025_Gen1'!O24)*100</f>
        <v>96.707872779334323</v>
      </c>
      <c r="P10" s="18">
        <f>(('R0025_Gen1'!P26+'R0025_Gen1'!P27)/'R0025_Gen1'!P24)*100</f>
        <v>96.544913948390729</v>
      </c>
      <c r="Q10" s="18">
        <f>(('R0025_Gen1'!Q26+'R0025_Gen1'!Q27)/'R0025_Gen1'!Q24)*100</f>
        <v>96.758731572551127</v>
      </c>
      <c r="R10" s="18">
        <f>(('R0025_Gen1'!R26+'R0025_Gen1'!R27)/'R0025_Gen1'!R24)*100</f>
        <v>97.625074335554515</v>
      </c>
      <c r="S10" s="18">
        <f>(('R0025_Gen1'!S26+'R0025_Gen1'!S27)/'R0025_Gen1'!S24)*100</f>
        <v>97.852065387543504</v>
      </c>
      <c r="T10" s="18">
        <f>(('R0025_Gen1'!T26+'R0025_Gen1'!T27)/'R0025_Gen1'!T24)*100</f>
        <v>96.155945535707588</v>
      </c>
      <c r="U10" s="18">
        <f>(('R0025_Gen1'!U26+'R0025_Gen1'!U27)/'R0025_Gen1'!U24)*100</f>
        <v>98.220459629855611</v>
      </c>
      <c r="V10" s="18">
        <f>(('R0025_Gen1'!V26+'R0025_Gen1'!V27)/'R0025_Gen1'!V24)*100</f>
        <v>98.141957213247693</v>
      </c>
      <c r="W10" s="18">
        <f>(('R0025_Gen1'!W26+'R0025_Gen1'!W27)/'R0025_Gen1'!W24)*100</f>
        <v>98.239504596147853</v>
      </c>
      <c r="X10" s="18">
        <f>(('R0025_Gen1'!X26+'R0025_Gen1'!X27)/'R0025_Gen1'!X24)*100</f>
        <v>95.416801234434985</v>
      </c>
      <c r="Y10" s="18">
        <f>(('R0025_Gen1'!Y26+'R0025_Gen1'!Y27)/'R0025_Gen1'!Y24)*100</f>
        <v>98.628199906241122</v>
      </c>
    </row>
    <row r="11" spans="1:25" s="11" customFormat="1" x14ac:dyDescent="0.25">
      <c r="A11" s="15" t="s">
        <v>17</v>
      </c>
      <c r="B11" s="17">
        <f>('R0025_Gen1'!B26)/'R0025_Gen1'!$B$24*100</f>
        <v>58.665031704286939</v>
      </c>
      <c r="C11" s="17">
        <f>('R0025_Gen1'!C26)/'R0025_Gen1'!$C$24*100</f>
        <v>55.31577124384237</v>
      </c>
      <c r="D11" s="17">
        <f>('R0025_Gen1'!D26)/'R0025_Gen1'!D24*100</f>
        <v>52.262358168689993</v>
      </c>
      <c r="E11" s="17">
        <f>('R0025_Gen1'!E26)/'R0025_Gen1'!E24*100</f>
        <v>51.759920305495598</v>
      </c>
      <c r="F11" s="17">
        <f>('R0025_Gen1'!F26)/'R0025_Gen1'!F24*100</f>
        <v>56.704190710434197</v>
      </c>
      <c r="G11" s="17">
        <f>('R0025_Gen1'!G26)/'R0025_Gen1'!G24*100</f>
        <v>57.689079548633785</v>
      </c>
      <c r="H11" s="17">
        <f>('R0025_Gen1'!H26)/'R0025_Gen1'!H24*100</f>
        <v>58.646472392638039</v>
      </c>
      <c r="I11" s="17">
        <f>('R0025_Gen1'!I26)/'R0025_Gen1'!I24*100</f>
        <v>58.005914659907056</v>
      </c>
      <c r="J11" s="17">
        <f>('R0025_Gen1'!J26)/'R0025_Gen1'!J24*100</f>
        <v>62.046582665139361</v>
      </c>
      <c r="K11" s="17">
        <f>('R0025_Gen1'!K26)/'R0025_Gen1'!K24*100</f>
        <v>63.026724673710376</v>
      </c>
      <c r="L11" s="17">
        <f>('R0025_Gen1'!L26)/'R0025_Gen1'!L24*100</f>
        <v>61.202747282461743</v>
      </c>
      <c r="M11" s="17">
        <f>('R0025_Gen1'!M26)/'R0025_Gen1'!M24*100</f>
        <v>57.711525649566951</v>
      </c>
      <c r="N11" s="17">
        <f>('R0025_Gen1'!N26)/'R0025_Gen1'!N24*100</f>
        <v>57.680275610818519</v>
      </c>
      <c r="O11" s="17">
        <f>('R0025_Gen1'!O26)/'R0025_Gen1'!O24*100</f>
        <v>61.141814711044049</v>
      </c>
      <c r="P11" s="17">
        <f>('R0025_Gen1'!P26)/'R0025_Gen1'!P24*100</f>
        <v>63.95453986442984</v>
      </c>
      <c r="Q11" s="17">
        <f>('R0025_Gen1'!Q26)/'R0025_Gen1'!Q24*100</f>
        <v>62.384981770695738</v>
      </c>
      <c r="R11" s="17">
        <f>('R0025_Gen1'!R26)/'R0025_Gen1'!R24*100</f>
        <v>52.079108278312312</v>
      </c>
      <c r="S11" s="17">
        <f>('R0025_Gen1'!S26)/'R0025_Gen1'!S24*100</f>
        <v>52.37590138833049</v>
      </c>
      <c r="T11" s="17">
        <f>('R0025_Gen1'!T26)/'R0025_Gen1'!T24*100</f>
        <v>59.697619991176829</v>
      </c>
      <c r="U11" s="17">
        <f>('R0025_Gen1'!U26)/'R0025_Gen1'!U24*100</f>
        <v>55.605356612068022</v>
      </c>
      <c r="V11" s="17">
        <f>('R0025_Gen1'!V26)/'R0025_Gen1'!V24*100</f>
        <v>30.555105095740036</v>
      </c>
      <c r="W11" s="17">
        <f>('R0025_Gen1'!W26)/'R0025_Gen1'!W24*100</f>
        <v>24.379631417157963</v>
      </c>
      <c r="X11" s="17">
        <f>('R0025_Gen1'!X26)/'R0025_Gen1'!X24*100</f>
        <v>25.879355510101554</v>
      </c>
      <c r="Y11" s="17">
        <f>('R0025_Gen1'!Y26)/'R0025_Gen1'!Y24*100</f>
        <v>42.570376803129399</v>
      </c>
    </row>
    <row r="12" spans="1:25" x14ac:dyDescent="0.25">
      <c r="A12" s="2" t="s">
        <v>8</v>
      </c>
      <c r="B12" s="16">
        <f>('R0025_Gen1'!B11/'R0025_Gen1'!$B$24)*100</f>
        <v>50.364639636005734</v>
      </c>
      <c r="C12" s="16">
        <f>('R0025_Gen1'!C11/'R0025_Gen1'!C24)*100</f>
        <v>53.038408251231516</v>
      </c>
      <c r="D12" s="16">
        <f>('R0025_Gen1'!D11/'R0025_Gen1'!$D$24)*100</f>
        <v>50.920415774022068</v>
      </c>
      <c r="E12" s="16">
        <f>('R0025_Gen1'!E11/'R0025_Gen1'!$E$24)*100</f>
        <v>50.428565498920797</v>
      </c>
      <c r="F12" s="16">
        <f>('R0025_Gen1'!F11/'R0025_Gen1'!$F$24)*100</f>
        <v>55.070475830101216</v>
      </c>
      <c r="G12" s="16">
        <f>('R0025_Gen1'!G11/'R0025_Gen1'!$G$24)*100</f>
        <v>52.513289191457616</v>
      </c>
      <c r="H12" s="16">
        <f>('R0025_Gen1'!H11/'R0025_Gen1'!$H$24)*100</f>
        <v>53.958972392638039</v>
      </c>
      <c r="I12" s="16">
        <f>('R0025_Gen1'!I11/'R0025_Gen1'!$I$24)*100</f>
        <v>53.823405154203627</v>
      </c>
      <c r="J12" s="16">
        <f>('R0025_Gen1'!J11/'R0025_Gen1'!$J$24)*100</f>
        <v>53.76097747231767</v>
      </c>
      <c r="K12" s="16">
        <f>('R0025_Gen1'!K11/'R0025_Gen1'!$K$24)*100</f>
        <v>54.704785581106272</v>
      </c>
      <c r="L12" s="16">
        <f>('R0025_Gen1'!L11/'R0025_Gen1'!$L$24)*100</f>
        <v>53.572008003893792</v>
      </c>
      <c r="M12" s="16">
        <f>('R0025_Gen1'!M11/'R0025_Gen1'!$M$24)*100</f>
        <v>56.701088163446592</v>
      </c>
      <c r="N12" s="16">
        <f>('R0025_Gen1'!N11/'R0025_Gen1'!$N$24)*100</f>
        <v>45.564487387637108</v>
      </c>
      <c r="O12" s="16">
        <f>('R0025_Gen1'!O11/'R0025_Gen1'!$O$24)*100</f>
        <v>51.15074355737552</v>
      </c>
      <c r="P12" s="16">
        <f>('R0025_Gen1'!P11/'R0025_Gen1'!$P$24)*100</f>
        <v>53.548046386121783</v>
      </c>
      <c r="Q12" s="16">
        <f>('R0025_Gen1'!Q11/'R0025_Gen1'!$Q$24)*100</f>
        <v>49.179870017134789</v>
      </c>
      <c r="R12" s="16">
        <f>('R0025_Gen1'!R11/'R0025_Gen1'!$R$24)*100</f>
        <v>37.43462283283268</v>
      </c>
      <c r="S12" s="16">
        <f>('R0025_Gen1'!S11/'R0025_Gen1'!$S$24)*100</f>
        <v>36.872449808815858</v>
      </c>
      <c r="T12" s="16">
        <f>('R0025_Gen1'!T11/'R0025_Gen1'!$T$24)*100</f>
        <v>41.542855861042774</v>
      </c>
      <c r="U12" s="16">
        <f>('R0025_Gen1'!U11/'R0025_Gen1'!$U$24)*100</f>
        <v>39.201514369299602</v>
      </c>
      <c r="V12" s="16">
        <f>('R0025_Gen1'!V11/'R0025_Gen1'!$V$24)*100</f>
        <v>20.479635751263022</v>
      </c>
      <c r="W12" s="16">
        <f>('R0025_Gen1'!W11/'R0025_Gen1'!$W$24)*100</f>
        <v>20.35076255958657</v>
      </c>
      <c r="X12" s="16">
        <f>('R0025_Gen1'!X11/'R0025_Gen1'!$X$24)*100</f>
        <v>12.679513402949723</v>
      </c>
      <c r="Y12" s="16">
        <f>('R0025_Gen1'!Y11/'R0025_Gen1'!$Y$24)*100</f>
        <v>18.332936267013011</v>
      </c>
    </row>
    <row r="13" spans="1:25" x14ac:dyDescent="0.25">
      <c r="A13" s="2" t="s">
        <v>6</v>
      </c>
      <c r="B13" s="16">
        <f>('R0025_Gen1'!B12/'R0025_Gen1'!$B$24)*100</f>
        <v>7.2847254715306784</v>
      </c>
      <c r="C13" s="16">
        <f>('R0025_Gen1'!C12/'R0025_Gen1'!$C$24)*100</f>
        <v>0.78124999999999978</v>
      </c>
      <c r="D13" s="16">
        <f>('R0025_Gen1'!D12/'R0025_Gen1'!$D$24)*100</f>
        <v>0.50682377211774976</v>
      </c>
      <c r="E13" s="16">
        <f>('R0025_Gen1'!E12/'R0025_Gen1'!$E$24)*100</f>
        <v>0.59148264984227128</v>
      </c>
      <c r="F13" s="16">
        <f>('R0025_Gen1'!F12/'R0025_Gen1'!$F$24)*100</f>
        <v>0.16838520480560021</v>
      </c>
      <c r="G13" s="16">
        <f>('R0025_Gen1'!G12/'R0025_Gen1'!$G$24)*100</f>
        <v>0.29842394852186888</v>
      </c>
      <c r="H13" s="16">
        <f>('R0025_Gen1'!H12/'R0025_Gen1'!$H$24)*100</f>
        <v>0.2779907975460123</v>
      </c>
      <c r="I13" s="16">
        <f>('R0025_Gen1'!I12/'R0025_Gen1'!$I$24)*100</f>
        <v>0.1795521757498944</v>
      </c>
      <c r="J13" s="16">
        <f>('R0025_Gen1'!J12/'R0025_Gen1'!$J$24)*100</f>
        <v>1.8518518518518514</v>
      </c>
      <c r="K13" s="16">
        <f>('R0025_Gen1'!K12/'R0025_Gen1'!$K$24)*100</f>
        <v>1.5537600994406464</v>
      </c>
      <c r="L13" s="16">
        <f>('R0025_Gen1'!L12/'R0025_Gen1'!$L$24)*100</f>
        <v>1.6440430479692822</v>
      </c>
      <c r="M13" s="16">
        <f>('R0025_Gen1'!M12/'R0025_Gen1'!$M$24)*100</f>
        <v>0.13879635798356652</v>
      </c>
      <c r="N13" s="16">
        <f>('R0025_Gen1'!N12/'R0025_Gen1'!$N$24)*100</f>
        <v>0.59953272878469888</v>
      </c>
      <c r="O13" s="16">
        <f>('R0025_Gen1'!O12/'R0025_Gen1'!$O$24)*100</f>
        <v>1.7626774223344313</v>
      </c>
      <c r="P13" s="16">
        <f>('R0025_Gen1'!P12/'R0025_Gen1'!$P$24)*100</f>
        <v>1.114077160694779</v>
      </c>
      <c r="Q13" s="16">
        <f>('R0025_Gen1'!Q12/'R0025_Gen1'!$Q$24)*100</f>
        <v>0.60235961926041093</v>
      </c>
      <c r="R13" s="16">
        <f>('R0025_Gen1'!R12/'R0025_Gen1'!$R$24)*100</f>
        <v>0.10140132050441437</v>
      </c>
      <c r="S13" s="16">
        <f>('R0025_Gen1'!S12/'R0025_Gen1'!$S$24)*100</f>
        <v>0.58167882774608004</v>
      </c>
      <c r="T13" s="16">
        <f>('R0025_Gen1'!T12/'R0025_Gen1'!$T$24)*100</f>
        <v>0.84717247773648652</v>
      </c>
      <c r="U13" s="16">
        <f>('R0025_Gen1'!U12/'R0025_Gen1'!$U$24)*100</f>
        <v>0.62186136011639359</v>
      </c>
      <c r="V13" s="16">
        <f>('R0025_Gen1'!V12/'R0025_Gen1'!$V$24)*100</f>
        <v>0</v>
      </c>
      <c r="W13" s="16">
        <f>('R0025_Gen1'!W12/'R0025_Gen1'!$W$24)*100</f>
        <v>0</v>
      </c>
      <c r="X13" s="16">
        <f>('R0025_Gen1'!X12/'R0025_Gen1'!$X$24)*100</f>
        <v>4.3779380629418309E-2</v>
      </c>
      <c r="Y13" s="16">
        <f>('R0025_Gen1'!Y12/'R0025_Gen1'!$Y$24)*100</f>
        <v>2.9895251342980762</v>
      </c>
    </row>
    <row r="14" spans="1:25" x14ac:dyDescent="0.25">
      <c r="A14" s="2" t="s">
        <v>14</v>
      </c>
      <c r="B14" s="16">
        <f>('R0025_Gen1'!B13/'R0025_Gen1'!$B$24)*100</f>
        <v>0.30655544619951913</v>
      </c>
      <c r="C14" s="16">
        <f>('R0025_Gen1'!C13/'R0025_Gen1'!$C$24)*100</f>
        <v>0.90055418719211822</v>
      </c>
      <c r="D14" s="16">
        <f>('R0025_Gen1'!D13/'R0025_Gen1'!$D$24)*100</f>
        <v>0.5792271681345712</v>
      </c>
      <c r="E14" s="16">
        <f>('R0025_Gen1'!E13/'R0025_Gen1'!$E$24)*100</f>
        <v>0.53752282915490612</v>
      </c>
      <c r="F14" s="16">
        <f>('R0025_Gen1'!F13/'R0025_Gen1'!$F$24)*100</f>
        <v>1.4322202251442624</v>
      </c>
      <c r="G14" s="16">
        <f>('R0025_Gen1'!G13/'R0025_Gen1'!$G$24)*100</f>
        <v>4.3178215051757904</v>
      </c>
      <c r="H14" s="16">
        <f>('R0025_Gen1'!H13/'R0025_Gen1'!$H$24)*100</f>
        <v>3.9110429447852764</v>
      </c>
      <c r="I14" s="16">
        <f>('R0025_Gen1'!I13/'R0025_Gen1'!$I$24)*100</f>
        <v>3.1368821292775664</v>
      </c>
      <c r="J14" s="16">
        <f>('R0025_Gen1'!J13/'R0025_Gen1'!$J$24)*100</f>
        <v>6.281023291332569</v>
      </c>
      <c r="K14" s="16">
        <f>('R0025_Gen1'!K13/'R0025_Gen1'!$K$24)*100</f>
        <v>5.9291485394655066</v>
      </c>
      <c r="L14" s="16">
        <f>('R0025_Gen1'!L13/'R0025_Gen1'!$L$24)*100</f>
        <v>5.1322264885620026</v>
      </c>
      <c r="M14" s="16">
        <f>('R0025_Gen1'!M13/'R0025_Gen1'!$M$24)*100</f>
        <v>0.13324450366422386</v>
      </c>
      <c r="N14" s="16">
        <f>('R0025_Gen1'!N13/'R0025_Gen1'!$N$24)*100</f>
        <v>10.748029937037183</v>
      </c>
      <c r="O14" s="16">
        <f>('R0025_Gen1'!O13/'R0025_Gen1'!$O$24)*100</f>
        <v>7.8635425967548258</v>
      </c>
      <c r="P14" s="16">
        <f>('R0025_Gen1'!P13/'R0025_Gen1'!$P$24)*100</f>
        <v>8.6579710773994254</v>
      </c>
      <c r="Q14" s="16">
        <f>('R0025_Gen1'!Q13/'R0025_Gen1'!$Q$24)*100</f>
        <v>10.374474445006378</v>
      </c>
      <c r="R14" s="16">
        <f>('R0025_Gen1'!R13/'R0025_Gen1'!$R$24)*100</f>
        <v>14.338756652079109</v>
      </c>
      <c r="S14" s="16">
        <f>('R0025_Gen1'!S13/'R0025_Gen1'!$S$24)*100</f>
        <v>14.516308392427909</v>
      </c>
      <c r="T14" s="16">
        <f>('R0025_Gen1'!T13/'R0025_Gen1'!$T$24)*100</f>
        <v>17.122903565900742</v>
      </c>
      <c r="U14" s="16">
        <f>('R0025_Gen1'!U13/'R0025_Gen1'!$U$24)*100</f>
        <v>15.822656091112467</v>
      </c>
      <c r="V14" s="16">
        <f>('R0025_Gen1'!V13/'R0025_Gen1'!$V$24)*100</f>
        <v>9.5153745400112264</v>
      </c>
      <c r="W14" s="16">
        <f>('R0025_Gen1'!W13/'R0025_Gen1'!$W$24)*100</f>
        <v>4.0288688575713927</v>
      </c>
      <c r="X14" s="16">
        <f>('R0025_Gen1'!X13/'R0025_Gen1'!$X$24)*100</f>
        <v>12.050812789320702</v>
      </c>
      <c r="Y14" s="16">
        <f>('R0025_Gen1'!Y13/'R0025_Gen1'!$Y$24)*100</f>
        <v>20.628491942115414</v>
      </c>
    </row>
    <row r="15" spans="1:25" x14ac:dyDescent="0.25">
      <c r="A15" s="2" t="s">
        <v>15</v>
      </c>
      <c r="B15" s="16">
        <f>('R0025_Gen1'!B14/'R0025_Gen1'!$B$24)*100</f>
        <v>0.68248923022314001</v>
      </c>
      <c r="C15" s="16">
        <f>('R0025_Gen1'!C14/'R0025_Gen1'!$C$24)*100</f>
        <v>0.47240609605911321</v>
      </c>
      <c r="D15" s="16">
        <f>('R0025_Gen1'!D14/'R0025_Gen1'!$D$24)*100</f>
        <v>9.918273426961835E-2</v>
      </c>
      <c r="E15" s="16">
        <f>('R0025_Gen1'!E14/'R0025_Gen1'!$E$24)*100</f>
        <v>9.8580441640378547E-2</v>
      </c>
      <c r="F15" s="16">
        <f>('R0025_Gen1'!F14/'R0025_Gen1'!$F$24)*100</f>
        <v>0</v>
      </c>
      <c r="G15" s="16">
        <f>('R0025_Gen1'!G14/'R0025_Gen1'!$G$24)*100</f>
        <v>0.50359041313065367</v>
      </c>
      <c r="H15" s="16">
        <f>('R0025_Gen1'!H14/'R0025_Gen1'!$H$24)*100</f>
        <v>0.49846625766871172</v>
      </c>
      <c r="I15" s="16">
        <f>('R0025_Gen1'!I14/'R0025_Gen1'!$I$24)*100</f>
        <v>0.81326573722010975</v>
      </c>
      <c r="J15" s="16">
        <f>('R0025_Gen1'!J14/'R0025_Gen1'!$J$24)*100</f>
        <v>6.3637520682194221E-2</v>
      </c>
      <c r="K15" s="16">
        <f>('R0025_Gen1'!K14/'R0025_Gen1'!$K$24)*100</f>
        <v>0.79552517091361097</v>
      </c>
      <c r="L15" s="16">
        <f>('R0025_Gen1'!L14/'R0025_Gen1'!$L$24)*100</f>
        <v>0.79498134227462014</v>
      </c>
      <c r="M15" s="16">
        <f>('R0025_Gen1'!M14/'R0025_Gen1'!$M$24)*100</f>
        <v>0.73839662447257381</v>
      </c>
      <c r="N15" s="16">
        <f>('R0025_Gen1'!N14/'R0025_Gen1'!$N$24)*100</f>
        <v>0.76822555735952158</v>
      </c>
      <c r="O15" s="16">
        <f>('R0025_Gen1'!O14/'R0025_Gen1'!$O$24)*100</f>
        <v>0.36485113457926655</v>
      </c>
      <c r="P15" s="16">
        <f>('R0025_Gen1'!P14/'R0025_Gen1'!$P$24)*100</f>
        <v>0.56427284762462837</v>
      </c>
      <c r="Q15" s="16">
        <f>('R0025_Gen1'!Q14/'R0025_Gen1'!$Q$24)*100</f>
        <v>2.212426120366247</v>
      </c>
      <c r="R15" s="16">
        <f>('R0025_Gen1'!R14/'R0025_Gen1'!$R$24)*100</f>
        <v>0.20432747289611328</v>
      </c>
      <c r="S15" s="16">
        <f>('R0025_Gen1'!S14/'R0025_Gen1'!$S$24)*100</f>
        <v>0.38578992840217957</v>
      </c>
      <c r="T15" s="16">
        <f>('R0025_Gen1'!T14/'R0025_Gen1'!$T$24)*100</f>
        <v>0.14804955921608504</v>
      </c>
      <c r="U15" s="16">
        <f>('R0025_Gen1'!U14/'R0025_Gen1'!$U$24)*100</f>
        <v>-9.0737003488681314E-2</v>
      </c>
      <c r="V15" s="16">
        <f>('R0025_Gen1'!V14/'R0025_Gen1'!$V$24)*100</f>
        <v>0.5600948044657893</v>
      </c>
      <c r="W15" s="16">
        <f>('R0025_Gen1'!W14/'R0025_Gen1'!$W$24)*100</f>
        <v>0</v>
      </c>
      <c r="X15" s="16">
        <f>('R0025_Gen1'!X14/'R0025_Gen1'!$X$24)*100</f>
        <v>1.1052499372017082</v>
      </c>
      <c r="Y15" s="16">
        <f>('R0025_Gen1'!Y14/'R0025_Gen1'!$Y$24)*100</f>
        <v>0.61942345970289192</v>
      </c>
    </row>
    <row r="16" spans="1:25" x14ac:dyDescent="0.25">
      <c r="A16" s="2" t="s">
        <v>16</v>
      </c>
      <c r="B16" s="16">
        <v>0</v>
      </c>
      <c r="C16" s="16">
        <f>('R0025_Gen1'!C15/'R0025_Gen1'!$C$24)*100</f>
        <v>0.12315270935960591</v>
      </c>
      <c r="D16" s="16">
        <f>('R0025_Gen1'!D15/'R0025_Gen1'!$D$24)*100</f>
        <v>0.15670872014599699</v>
      </c>
      <c r="E16" s="16">
        <f>('R0025_Gen1'!E15/'R0025_Gen1'!$E$24)*100</f>
        <v>0.10376888593724057</v>
      </c>
      <c r="F16" s="16">
        <f>('R0025_Gen1'!F15/'R0025_Gen1'!$F$24)*100</f>
        <v>3.3109450383123636E-2</v>
      </c>
      <c r="G16" s="16">
        <f>('R0025_Gen1'!G15/'R0025_Gen1'!$G$24)*100</f>
        <v>5.5954490347850404E-2</v>
      </c>
      <c r="H16" s="25">
        <f>('R0025_Gen1'!H15/'R0025_Gen1'!$H$24)*100</f>
        <v>0</v>
      </c>
      <c r="I16" s="16">
        <f>('R0025_Gen1'!I15/'R0025_Gen1'!$I$24)*100</f>
        <v>5.2809463455851295E-2</v>
      </c>
      <c r="J16" s="16">
        <f>('R0025_Gen1'!J15/'R0025_Gen1'!$J$24)*100</f>
        <v>8.9092528955071901E-2</v>
      </c>
      <c r="K16" s="16">
        <f>('R0025_Gen1'!K15/'R0025_Gen1'!$K$24)*100</f>
        <v>4.3505282784338101E-2</v>
      </c>
      <c r="L16" s="16">
        <f>('R0025_Gen1'!L15/'R0025_Gen1'!$L$24)*100</f>
        <v>5.9488399762046403E-2</v>
      </c>
      <c r="M16" s="25">
        <f>('R0025_Gen1'!M15/'R0025_Gen1'!$M$24)*100</f>
        <v>0</v>
      </c>
      <c r="N16" s="25">
        <f>('R0025_Gen1'!N15/'R0025_Gen1'!$N$24)*100</f>
        <v>0</v>
      </c>
      <c r="O16" s="25">
        <f>('R0025_Gen1'!O15/'R0025_Gen1'!$O$24)*100</f>
        <v>0</v>
      </c>
      <c r="P16" s="16">
        <f>('R0025_Gen1'!P15/'R0025_Gen1'!$P$24)*100</f>
        <v>7.0172392589216606E-2</v>
      </c>
      <c r="Q16">
        <f>('R0025_Gen1'!Q15/'R0025_Gen1'!$Q$24)*100</f>
        <v>1.5851568927905551E-2</v>
      </c>
      <c r="R16" s="16">
        <f>('R0025_Gen1'!R15/'R0025_Gen1'!$R$24)*100</f>
        <v>0</v>
      </c>
      <c r="S16" s="16">
        <f>('R0025_Gen1'!S15/'R0025_Gen1'!$S$24)*100</f>
        <v>1.9674430938470353E-2</v>
      </c>
      <c r="T16" s="16">
        <f>('R0025_Gen1'!T15/'R0025_Gen1'!$T$24)*100</f>
        <v>3.6638527280748318E-2</v>
      </c>
      <c r="U16" s="16">
        <f>('R0025_Gen1'!U15/'R0025_Gen1'!$U$24)*100</f>
        <v>5.0061795028237974E-2</v>
      </c>
      <c r="V16" s="16">
        <f>('R0025_Gen1'!V15/'R0025_Gen1'!$V$24)*100</f>
        <v>0</v>
      </c>
      <c r="W16" s="16">
        <f>('R0025_Gen1'!W15/'R0025_Gen1'!$W$24)*100</f>
        <v>0</v>
      </c>
      <c r="X16" s="25">
        <f>('R0025_Gen1'!X15/'R0025_Gen1'!$X$24)*100</f>
        <v>0</v>
      </c>
      <c r="Y16" s="25">
        <f>('R0025_Gen1'!Y15/'R0025_Gen1'!$Y$24)*100</f>
        <v>0</v>
      </c>
    </row>
    <row r="17" spans="1:25" s="20" customFormat="1" x14ac:dyDescent="0.25">
      <c r="A17" s="12" t="s">
        <v>18</v>
      </c>
      <c r="B17" s="19">
        <f>('R0025_Gen1'!B27/'R0025_Gen1'!$B$24)*100</f>
        <v>36.706787782958742</v>
      </c>
      <c r="C17" s="19">
        <f>('R0025_Gen1'!C27/'R0025_Gen1'!$C$24)*100</f>
        <v>41.036791871921181</v>
      </c>
      <c r="D17" s="19">
        <f>('R0025_Gen1'!D27/'R0025_Gen1'!D24)*100</f>
        <v>43.223835594699672</v>
      </c>
      <c r="E17" s="19">
        <f>('R0025_Gen1'!E27/'R0025_Gen1'!E24)*100</f>
        <v>43.758301510874972</v>
      </c>
      <c r="F17" s="19">
        <f>('R0025_Gen1'!F27/'R0025_Gen1'!F24)*100</f>
        <v>33.921104909658496</v>
      </c>
      <c r="G17" s="19">
        <f>('R0025_Gen1'!G27/'R0025_Gen1'!G24)*100</f>
        <v>38.095682178494819</v>
      </c>
      <c r="H17" s="19">
        <f>('R0025_Gen1'!H27/'R0025_Gen1'!H24)*100</f>
        <v>36.46472392638038</v>
      </c>
      <c r="I17" s="19">
        <f>('R0025_Gen1'!I27/'R0025_Gen1'!I24)*100</f>
        <v>37.357414448669203</v>
      </c>
      <c r="J17" s="19">
        <f>('R0025_Gen1'!J27/'R0025_Gen1'!J24)*100</f>
        <v>34.49153620974927</v>
      </c>
      <c r="K17" s="19">
        <f>('R0025_Gen1'!K27/'R0025_Gen1'!K24)*100</f>
        <v>33.443132380360474</v>
      </c>
      <c r="L17" s="19">
        <f>('R0025_Gen1'!L27/'R0025_Gen1'!L24)*100</f>
        <v>34.816937969823158</v>
      </c>
      <c r="M17" s="19">
        <f>('R0025_Gen1'!M27/'R0025_Gen1'!M24)*100</f>
        <v>38.479902287363977</v>
      </c>
      <c r="N17" s="19">
        <f>('R0025_Gen1'!N27/'R0025_Gen1'!N24)*100</f>
        <v>38.945867817685034</v>
      </c>
      <c r="O17" s="19">
        <f>('R0025_Gen1'!O27/'R0025_Gen1'!O24)*100</f>
        <v>35.566058068290282</v>
      </c>
      <c r="P17" s="19">
        <f>('R0025_Gen1'!P27/'R0025_Gen1'!P24)*100</f>
        <v>32.590374083960896</v>
      </c>
      <c r="Q17" s="19">
        <f>('R0025_Gen1'!Q27/'R0025_Gen1'!Q24)*100</f>
        <v>34.373749801855389</v>
      </c>
      <c r="R17" s="19">
        <f>('R0025_Gen1'!R27/'R0025_Gen1'!R24)*100</f>
        <v>45.54596605724219</v>
      </c>
      <c r="S17" s="19">
        <f>('R0025_Gen1'!S27/'R0025_Gen1'!S24)*100</f>
        <v>45.476163999213021</v>
      </c>
      <c r="T17" s="19">
        <f>('R0025_Gen1'!T27/'R0025_Gen1'!T24)*100</f>
        <v>36.458325544530759</v>
      </c>
      <c r="U17" s="19">
        <f>('R0025_Gen1'!U27/'R0025_Gen1'!U24)*100</f>
        <v>42.615103017787575</v>
      </c>
      <c r="V17" s="19">
        <f>('R0025_Gen1'!V27/'R0025_Gen1'!V24)*100</f>
        <v>67.586852117507647</v>
      </c>
      <c r="W17" s="19">
        <f>('R0025_Gen1'!W27/'R0025_Gen1'!W24)*100</f>
        <v>73.859873178989886</v>
      </c>
      <c r="X17" s="19">
        <f>('R0025_Gen1'!X27/'R0025_Gen1'!X24)*100</f>
        <v>69.537445724333438</v>
      </c>
      <c r="Y17" s="19">
        <f>('R0025_Gen1'!Y27/'R0025_Gen1'!Y24)*100</f>
        <v>56.057823103111716</v>
      </c>
    </row>
    <row r="18" spans="1:25" x14ac:dyDescent="0.25">
      <c r="A18" s="2" t="s">
        <v>8</v>
      </c>
      <c r="B18" s="16">
        <f>('R0025_Gen1'!B18/'R0025_Gen1'!$B$24)*100</f>
        <v>0.14601719937398153</v>
      </c>
      <c r="C18" s="16">
        <f>('R0025_Gen1'!C18/'R0025_Gen1'!$C$24)*100</f>
        <v>0.38485221674876846</v>
      </c>
      <c r="D18" s="16">
        <f>('R0025_Gen1'!D18/'R0025_Gen1'!$D$24)*100</f>
        <v>0.3064746488931207</v>
      </c>
      <c r="E18" s="16">
        <f>('R0025_Gen1'!E18/'R0025_Gen1'!$E$24)*100</f>
        <v>0.15772870662460567</v>
      </c>
      <c r="F18" s="16">
        <f>('R0025_Gen1'!F18/'R0025_Gen1'!$F$24)*100</f>
        <v>0.10784220981931698</v>
      </c>
      <c r="G18" s="16">
        <f>('R0025_Gen1'!G18/'R0025_Gen1'!$G$24)*100</f>
        <v>0</v>
      </c>
      <c r="H18" s="16">
        <f>('R0025_Gen1'!H18/'R0025_Gen1'!$H$24)*100</f>
        <v>0</v>
      </c>
      <c r="I18" s="16">
        <f>('R0025_Gen1'!I18/'R0025_Gen1'!$I$24)*100</f>
        <v>0</v>
      </c>
      <c r="J18" s="16">
        <f>('R0025_Gen1'!J18/'R0025_Gen1'!$J$24)*100</f>
        <v>0</v>
      </c>
      <c r="K18" s="16">
        <f>('R0025_Gen1'!K18/'R0025_Gen1'!$K$24)*100</f>
        <v>0</v>
      </c>
      <c r="L18" s="16">
        <f>('R0025_Gen1'!L18/'R0025_Gen1'!$L$24)*100</f>
        <v>0</v>
      </c>
      <c r="M18" s="16">
        <f>('R0025_Gen1'!M18/'R0025_Gen1'!$M$24)*100</f>
        <v>0</v>
      </c>
      <c r="N18" s="16">
        <f>('R0025_Gen1'!N18/'R0025_Gen1'!$N$24)*100</f>
        <v>7.0486674850512812E-2</v>
      </c>
      <c r="O18" s="16">
        <f>('R0025_Gen1'!O18/'R0025_Gen1'!$O$24)*100</f>
        <v>0.12623541365189814</v>
      </c>
      <c r="P18" s="16">
        <f>('R0025_Gen1'!P18/'R0025_Gen1'!$P$24)*100</f>
        <v>0.28864726436182908</v>
      </c>
      <c r="Q18" s="16">
        <f>('R0025_Gen1'!Q18/'R0025_Gen1'!$Q$24)*100</f>
        <v>0</v>
      </c>
      <c r="R18" s="16">
        <f>('R0025_Gen1'!R18/'R0025_Gen1'!$R$24)*100</f>
        <v>0</v>
      </c>
      <c r="S18" s="16">
        <f>('R0025_Gen1'!S18/'R0025_Gen1'!$S$24)*100</f>
        <v>0</v>
      </c>
      <c r="T18" s="16">
        <f>('R0025_Gen1'!T18/'R0025_Gen1'!$T$24)*100</f>
        <v>0.50396668137192591</v>
      </c>
      <c r="U18" s="16">
        <f>('R0025_Gen1'!U18/'R0025_Gen1'!$U$24)*100</f>
        <v>1.8874861156740346</v>
      </c>
      <c r="V18" s="16">
        <f>('R0025_Gen1'!V18/'R0025_Gen1'!$V$24)*100</f>
        <v>0</v>
      </c>
      <c r="W18" s="16">
        <f>('R0025_Gen1'!W18/'R0025_Gen1'!$W$24)*100</f>
        <v>1.2028690654746879</v>
      </c>
      <c r="X18" s="25">
        <f>('R0025_Gen1'!X18/'R0025_Gen1'!$X$24)*100</f>
        <v>0</v>
      </c>
      <c r="Y18" s="16">
        <f>('R0025_Gen1'!Y18/'R0025_Gen1'!$Y$24)*100</f>
        <v>0.80617271616418551</v>
      </c>
    </row>
    <row r="19" spans="1:25" x14ac:dyDescent="0.25">
      <c r="A19" s="2" t="s">
        <v>6</v>
      </c>
      <c r="B19" s="16">
        <f>('R0025_Gen1'!B19/'R0025_Gen1'!$B$24)*100</f>
        <v>35.674986689039834</v>
      </c>
      <c r="C19" s="16">
        <f>('R0025_Gen1'!C19/'R0025_Gen1'!$C$24)*100</f>
        <v>39.194311884236441</v>
      </c>
      <c r="D19" s="16">
        <f>('R0025_Gen1'!D19/'R0025_Gen1'!$D$24)*100</f>
        <v>41.387963183369045</v>
      </c>
      <c r="E19" s="16">
        <f>('R0025_Gen1'!E19/'R0025_Gen1'!$E$24)*100</f>
        <v>42.371949194753441</v>
      </c>
      <c r="F19" s="16">
        <f>('R0025_Gen1'!F19/'R0025_Gen1'!$F$24)*100</f>
        <v>31.627092990256362</v>
      </c>
      <c r="G19" s="16">
        <f>('R0025_Gen1'!G19/'R0025_Gen1'!$G$24)*100</f>
        <v>34.29077683484099</v>
      </c>
      <c r="H19" s="16">
        <f>('R0025_Gen1'!H19/'R0025_Gen1'!$H$24)*100</f>
        <v>34.039493865030678</v>
      </c>
      <c r="I19" s="16">
        <f>('R0025_Gen1'!I19/'R0025_Gen1'!$I$24)*100</f>
        <v>33.935361216730037</v>
      </c>
      <c r="J19" s="16">
        <f>('R0025_Gen1'!J19/'R0025_Gen1'!$J$24)*100</f>
        <v>29.368715794832628</v>
      </c>
      <c r="K19" s="16">
        <f>('R0025_Gen1'!K19/'R0025_Gen1'!$K$24)*100</f>
        <v>29.148539465506531</v>
      </c>
      <c r="L19" s="16">
        <f>('R0025_Gen1'!L19/'R0025_Gen1'!$L$24)*100</f>
        <v>29.360229300740905</v>
      </c>
      <c r="M19" s="16">
        <f>('R0025_Gen1'!M19/'R0025_Gen1'!$M$24)*100</f>
        <v>33.200088829669113</v>
      </c>
      <c r="N19" s="16">
        <f>('R0025_Gen1'!N19/'R0025_Gen1'!$N$24)*100</f>
        <v>31.174909911693661</v>
      </c>
      <c r="O19" s="16">
        <f>('R0025_Gen1'!O19/'R0025_Gen1'!$O$24)*100</f>
        <v>25.915976477108281</v>
      </c>
      <c r="P19" s="16">
        <f>('R0025_Gen1'!P19/'R0025_Gen1'!$P$24)*100</f>
        <v>26.010807995312195</v>
      </c>
      <c r="Q19" s="16">
        <f>('R0025_Gen1'!Q19/'R0025_Gen1'!$Q$24)*100</f>
        <v>28.766068584454896</v>
      </c>
      <c r="R19" s="16">
        <f>('R0025_Gen1'!R19/'R0025_Gen1'!$R$24)*100</f>
        <v>22.110824781567835</v>
      </c>
      <c r="S19" s="16">
        <f>('R0025_Gen1'!S19/'R0025_Gen1'!$S$24)*100</f>
        <v>24.306476309418919</v>
      </c>
      <c r="T19" s="16">
        <f>('R0025_Gen1'!T19/'R0025_Gen1'!$T$24)*100</f>
        <v>20.016599496033315</v>
      </c>
      <c r="U19" s="16">
        <f>('R0025_Gen1'!U19/'R0025_Gen1'!$U$24)*100</f>
        <v>19.140814442827864</v>
      </c>
      <c r="V19" s="16">
        <f>('R0025_Gen1'!V19/'R0025_Gen1'!$V$24)*100</f>
        <v>10.671115823613796</v>
      </c>
      <c r="W19" s="16">
        <f>('R0025_Gen1'!W19/'R0025_Gen1'!$W$24)*100</f>
        <v>10.017968784805237</v>
      </c>
      <c r="X19" s="16">
        <f>('R0025_Gen1'!X19/'R0025_Gen1'!$X$24)*100</f>
        <v>10.180500233250799</v>
      </c>
      <c r="Y19" s="16">
        <f>('R0025_Gen1'!Y19/'R0025_Gen1'!$Y$24)*100</f>
        <v>11.832832517426088</v>
      </c>
    </row>
    <row r="20" spans="1:25" x14ac:dyDescent="0.25">
      <c r="A20" s="2" t="s">
        <v>14</v>
      </c>
      <c r="B20" s="16">
        <f>('R0025_Gen1'!B20/'R0025_Gen1'!$B$24)*100</f>
        <v>0.12826925248874618</v>
      </c>
      <c r="C20" s="16">
        <f>('R0025_Gen1'!C20/'R0025_Gen1'!$C$24)*100</f>
        <v>0.26266163793103448</v>
      </c>
      <c r="D20" s="16">
        <f>('R0025_Gen1'!D20/'R0025_Gen1'!$D$24)*100</f>
        <v>0.30250733952233594</v>
      </c>
      <c r="E20" s="16">
        <f>('R0025_Gen1'!E20/'R0025_Gen1'!$E$24)*100</f>
        <v>0.18574630582766061</v>
      </c>
      <c r="F20" s="16">
        <f>('R0025_Gen1'!F20/'R0025_Gen1'!$F$24)*100</f>
        <v>0.60637593415949287</v>
      </c>
      <c r="G20" s="16">
        <f>('R0025_Gen1'!G20/'R0025_Gen1'!$G$24)*100</f>
        <v>1.2309987876527091</v>
      </c>
      <c r="H20" s="16">
        <f>('R0025_Gen1'!H20/'R0025_Gen1'!$H$24)*100</f>
        <v>0.49846625766871172</v>
      </c>
      <c r="I20" s="16">
        <f>('R0025_Gen1'!I20/'R0025_Gen1'!$I$24)*100</f>
        <v>1.4892268694550062</v>
      </c>
      <c r="J20" s="16">
        <f>('R0025_Gen1'!J20/'R0025_Gen1'!$J$24)*100</f>
        <v>1.2345679012345678</v>
      </c>
      <c r="K20" s="16">
        <f>('R0025_Gen1'!K20/'R0025_Gen1'!$K$24)*100</f>
        <v>1.0689869484151648</v>
      </c>
      <c r="L20" s="16">
        <f>('R0025_Gen1'!L20/'R0025_Gen1'!$L$24)*100</f>
        <v>1.7197555567573415</v>
      </c>
      <c r="M20" s="16">
        <f>('R0025_Gen1'!M20/'R0025_Gen1'!$M$24)*100</f>
        <v>1.5656229180546302</v>
      </c>
      <c r="N20" s="16">
        <f>('R0025_Gen1'!N20/'R0025_Gen1'!$N$24)*100</f>
        <v>4.5032273393260205</v>
      </c>
      <c r="O20" s="16">
        <f>('R0025_Gen1'!O20/'R0025_Gen1'!$O$24)*100</f>
        <v>3.0843006250192428</v>
      </c>
      <c r="P20" s="16">
        <f>('R0025_Gen1'!P20/'R0025_Gen1'!$P$24)*100</f>
        <v>2.1370025536963491</v>
      </c>
      <c r="Q20" s="16">
        <f>('R0025_Gen1'!Q20/'R0025_Gen1'!$Q$24)*100</f>
        <v>3.1725782954279547</v>
      </c>
      <c r="R20" s="16">
        <f>('R0025_Gen1'!R20/'R0025_Gen1'!$R$24)*100</f>
        <v>18.292645735807632</v>
      </c>
      <c r="S20" s="16">
        <f>('R0025_Gen1'!S20/'R0025_Gen1'!$S$24)*100</f>
        <v>17.56413436780921</v>
      </c>
      <c r="T20" s="16">
        <f>('R0025_Gen1'!T20/'R0025_Gen1'!$T$24)*100</f>
        <v>9.7585595824703315</v>
      </c>
      <c r="U20" s="16">
        <f>('R0025_Gen1'!U20/'R0025_Gen1'!$U$24)*100</f>
        <v>15.881322257161182</v>
      </c>
      <c r="V20" s="16">
        <f>('R0025_Gen1'!V20/'R0025_Gen1'!$V$24)*100</f>
        <v>44.06786003867024</v>
      </c>
      <c r="W20" s="16">
        <f>('R0025_Gen1'!W20/'R0025_Gen1'!$W$24)*100</f>
        <v>48.062044283401889</v>
      </c>
      <c r="X20" s="16">
        <f>('R0025_Gen1'!X20/'R0025_Gen1'!$X$24)*100</f>
        <v>46.667384361431083</v>
      </c>
      <c r="Y20" s="16">
        <f>('R0025_Gen1'!Y20/'R0025_Gen1'!$Y$24)*100</f>
        <v>31.282421745913418</v>
      </c>
    </row>
    <row r="21" spans="1:25" x14ac:dyDescent="0.25">
      <c r="A21" s="2" t="s">
        <v>15</v>
      </c>
      <c r="B21" s="16">
        <f>('R0025_Gen1'!B21/'R0025_Gen1'!$B$24)*100</f>
        <v>0.69701027767469625</v>
      </c>
      <c r="C21" s="16">
        <f>('R0025_Gen1'!C21/'R0025_Gen1'!$C$24)*100</f>
        <v>0.98907019704433485</v>
      </c>
      <c r="D21" s="16">
        <f>('R0025_Gen1'!D21/'R0025_Gen1'!$D$24)*100</f>
        <v>0.9729826231849561</v>
      </c>
      <c r="E21" s="16">
        <f>('R0025_Gen1'!E21/'R0025_Gen1'!$E$24)*100</f>
        <v>0.84779179810725547</v>
      </c>
      <c r="F21" s="16">
        <f>('R0025_Gen1'!F21/'R0025_Gen1'!$F$24)*100</f>
        <v>1.4312742408476016</v>
      </c>
      <c r="G21" s="16">
        <f>('R0025_Gen1'!G21/'R0025_Gen1'!$G$24)*100</f>
        <v>2.3034598526531753</v>
      </c>
      <c r="H21" s="16">
        <f>('R0025_Gen1'!H21/'R0025_Gen1'!$H$24)*100</f>
        <v>1.6487730061349695</v>
      </c>
      <c r="I21" s="16">
        <f>('R0025_Gen1'!I21/'R0025_Gen1'!$I$24)*100</f>
        <v>1.6159695817490494</v>
      </c>
      <c r="J21" s="16">
        <f>('R0025_Gen1'!J21/'R0025_Gen1'!$J$24)*100</f>
        <v>3.4936998854524628</v>
      </c>
      <c r="K21" s="16">
        <f>('R0025_Gen1'!K21/'R0025_Gen1'!$K$24)*100</f>
        <v>2.995649471721566</v>
      </c>
      <c r="L21" s="16">
        <f>('R0025_Gen1'!L21/'R0025_Gen1'!$L$24)*100</f>
        <v>3.3097182413065815</v>
      </c>
      <c r="M21" s="16">
        <f>('R0025_Gen1'!M21/'R0025_Gen1'!$M$24)*100</f>
        <v>3.2589384854541414</v>
      </c>
      <c r="N21" s="16">
        <f>('R0025_Gen1'!N21/'R0025_Gen1'!$N$24)*100</f>
        <v>2.9865758523739752</v>
      </c>
      <c r="O21" s="16">
        <f>('R0025_Gen1'!O21/'R0025_Gen1'!$O$24)*100</f>
        <v>6.1732196188306281</v>
      </c>
      <c r="P21" s="16">
        <f>('R0025_Gen1'!P21/'R0025_Gen1'!$P$24)*100</f>
        <v>3.7806280790850098</v>
      </c>
      <c r="Q21" s="16">
        <f>('R0025_Gen1'!Q21/'R0025_Gen1'!$Q$24)*100</f>
        <v>2.1452456615765518</v>
      </c>
      <c r="R21" s="16">
        <f>('R0025_Gen1'!R21/'R0025_Gen1'!$R$24)*100</f>
        <v>5.0510056266296646</v>
      </c>
      <c r="S21" s="16">
        <f>('R0025_Gen1'!S21/'R0025_Gen1'!$S$24)*100</f>
        <v>3.5148798576597686</v>
      </c>
      <c r="T21" s="16">
        <f>('R0025_Gen1'!T21/'R0025_Gen1'!$T$24)*100</f>
        <v>6.0633024024405726</v>
      </c>
      <c r="U21" s="16">
        <f>('R0025_Gen1'!U21/'R0025_Gen1'!$U$24)*100</f>
        <v>5.4622111669091522</v>
      </c>
      <c r="V21" s="16">
        <f>('R0025_Gen1'!V21/'R0025_Gen1'!$V$24)*100</f>
        <v>12.816690575687643</v>
      </c>
      <c r="W21" s="16">
        <f>('R0025_Gen1'!W21/'R0025_Gen1'!$W$24)*100</f>
        <v>14.576991045308068</v>
      </c>
      <c r="X21" s="16">
        <f>('R0025_Gen1'!X21/'R0025_Gen1'!$X$24)*100</f>
        <v>12.689561129651558</v>
      </c>
      <c r="Y21" s="16">
        <f>('R0025_Gen1'!Y21/'R0025_Gen1'!$Y$24)*100</f>
        <v>11.705258951283803</v>
      </c>
    </row>
    <row r="22" spans="1:25" x14ac:dyDescent="0.25">
      <c r="A22" s="2" t="s">
        <v>16</v>
      </c>
      <c r="B22" s="16">
        <f>('R0025_Gen1'!B22/'R0025_Gen1'!$B$24)*100</f>
        <v>6.0504364381484044E-2</v>
      </c>
      <c r="C22" s="16">
        <f>('R0025_Gen1'!C22/'R0025_Gen1'!$C$24)*100</f>
        <v>0.20589593596059111</v>
      </c>
      <c r="D22" s="16">
        <f>('R0025_Gen1'!D22/'R0025_Gen1'!$D$24)*100</f>
        <v>0.25390779973022298</v>
      </c>
      <c r="E22" s="16">
        <f>('R0025_Gen1'!E22/'R0025_Gen1'!$E$24)*100</f>
        <v>0.19508550556201226</v>
      </c>
      <c r="F22" s="16">
        <f>('R0025_Gen1'!F22/'R0025_Gen1'!$F$24)*100</f>
        <v>0.14851953457572603</v>
      </c>
      <c r="G22" s="16">
        <f>('R0025_Gen1'!G22/'R0025_Gen1'!$G$24)*100</f>
        <v>0.27044670334794363</v>
      </c>
      <c r="H22" s="16">
        <f>('R0025_Gen1'!H22/'R0025_Gen1'!$H$24)*100</f>
        <v>0.2779907975460123</v>
      </c>
      <c r="I22" s="16">
        <f>('R0025_Gen1'!I22/'R0025_Gen1'!$I$24)*100</f>
        <v>0.3168567807351077</v>
      </c>
      <c r="J22" s="16">
        <f>('R0025_Gen1'!J22/'R0025_Gen1'!$J$24)*100</f>
        <v>0.39455262822960413</v>
      </c>
      <c r="K22" s="16">
        <f>('R0025_Gen1'!K22/'R0025_Gen1'!$K$24)*100</f>
        <v>0.22995649471721566</v>
      </c>
      <c r="L22" s="16">
        <f>('R0025_Gen1'!L22/'R0025_Gen1'!$L$24)*100</f>
        <v>0.4272348710183333</v>
      </c>
      <c r="M22" s="16">
        <f>('R0025_Gen1'!M22/'R0025_Gen1'!$M$24)*100</f>
        <v>0.45525205418609815</v>
      </c>
      <c r="N22" s="16">
        <f>('R0025_Gen1'!N22/'R0025_Gen1'!$N$24)*100</f>
        <v>0.21066803944085849</v>
      </c>
      <c r="O22" s="16">
        <f>('R0025_Gen1'!O22/'R0025_Gen1'!$O$24)*100</f>
        <v>0.26632593368022411</v>
      </c>
      <c r="P22" s="16">
        <f>('R0025_Gen1'!P22/'R0025_Gen1'!$P$24)*100</f>
        <v>0.37328819150552339</v>
      </c>
      <c r="Q22" s="16">
        <f>('R0025_Gen1'!Q22/'R0025_Gen1'!$Q$24)*100</f>
        <v>0.28985726039598725</v>
      </c>
      <c r="R22" s="16">
        <f>('R0025_Gen1'!R22/'R0025_Gen1'!$R$24)*100</f>
        <v>9.1489913237065623E-2</v>
      </c>
      <c r="S22" s="16">
        <f>('R0025_Gen1'!S22/'R0025_Gen1'!$S$24)*100</f>
        <v>9.0673464325124256E-2</v>
      </c>
      <c r="T22" s="16">
        <f>('R0025_Gen1'!T22/'R0025_Gen1'!$T$24)*100</f>
        <v>0.11589738221461203</v>
      </c>
      <c r="U22" s="16">
        <f>('R0025_Gen1'!U22/'R0025_Gen1'!$U$24)*100</f>
        <v>0.2432690352153439</v>
      </c>
      <c r="V22" s="16">
        <f>('R0025_Gen1'!V22/'R0025_Gen1'!$V$24)*100</f>
        <v>3.1185679535957085E-2</v>
      </c>
      <c r="W22" s="16">
        <f>('R0025_Gen1'!W22/'R0025_Gen1'!$W$24)*100</f>
        <v>0</v>
      </c>
      <c r="X22" s="25">
        <f>('R0025_Gen1'!X22/'R0025_Gen1'!$X$24)*100</f>
        <v>0</v>
      </c>
      <c r="Y22" s="16">
        <f>('R0025_Gen1'!Y22/'R0025_Gen1'!$Y$24)*100</f>
        <v>0.43113717232422133</v>
      </c>
    </row>
    <row r="24" spans="1:25" x14ac:dyDescent="0.25">
      <c r="B24" s="25"/>
      <c r="C24" t="s">
        <v>21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82A3-02D9-48FC-B62E-3F50F6B99CC3}">
  <sheetPr codeName="Sheet20"/>
  <dimension ref="A1:M24"/>
  <sheetViews>
    <sheetView workbookViewId="0"/>
  </sheetViews>
  <sheetFormatPr defaultRowHeight="15" x14ac:dyDescent="0.25"/>
  <cols>
    <col min="1" max="1" width="14.140625" style="2" bestFit="1" customWidth="1"/>
    <col min="2" max="3" width="8.85546875" style="16"/>
  </cols>
  <sheetData>
    <row r="1" spans="1:13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</row>
    <row r="2" spans="1:13" x14ac:dyDescent="0.25">
      <c r="B2" s="16" t="s">
        <v>26</v>
      </c>
      <c r="C2" s="16" t="s">
        <v>27</v>
      </c>
      <c r="D2" t="s">
        <v>26</v>
      </c>
      <c r="E2" t="s">
        <v>27</v>
      </c>
      <c r="F2" t="s">
        <v>26</v>
      </c>
      <c r="G2" t="s">
        <v>27</v>
      </c>
      <c r="H2" t="s">
        <v>26</v>
      </c>
      <c r="I2" t="s">
        <v>27</v>
      </c>
      <c r="J2" t="s">
        <v>26</v>
      </c>
      <c r="K2" t="s">
        <v>27</v>
      </c>
      <c r="L2" t="s">
        <v>26</v>
      </c>
      <c r="M2" t="s">
        <v>27</v>
      </c>
    </row>
    <row r="3" spans="1:13" s="9" customFormat="1" x14ac:dyDescent="0.25">
      <c r="A3" s="13" t="s">
        <v>19</v>
      </c>
      <c r="B3" s="21">
        <f>AVERAGE('R0025_Gen1_100%'!B3:E3)</f>
        <v>100</v>
      </c>
      <c r="C3" s="21">
        <f>_xlfn.STDEV.P('R0025_Gen1_100%'!B3:E3)</f>
        <v>0</v>
      </c>
      <c r="D3" s="21">
        <f>AVERAGE('R0025_Gen1_100%'!F3:I3)</f>
        <v>100</v>
      </c>
      <c r="E3" s="21">
        <f>_xlfn.STDEV.P('R0025_Gen1_100%'!F3:I3)</f>
        <v>0</v>
      </c>
      <c r="F3" s="21">
        <f>AVERAGE('R0025_Gen1_100%'!J3:M3)</f>
        <v>100</v>
      </c>
      <c r="G3" s="21">
        <f>_xlfn.STDEV.P('R0025_Gen1_100%'!J3:M3)</f>
        <v>0</v>
      </c>
      <c r="H3" s="21">
        <f>AVERAGE('R0025_Gen1_100%'!N3:Q3)</f>
        <v>100</v>
      </c>
      <c r="I3" s="21">
        <f>_xlfn.STDEV.P('R0025_Gen1_100%'!N3:Q3)</f>
        <v>0</v>
      </c>
      <c r="J3" s="21">
        <f>AVERAGE('R0025_Gen1_100%'!R3:U3)</f>
        <v>100</v>
      </c>
      <c r="K3" s="21">
        <f>_xlfn.STDEV.P('R0025_Gen1_100%'!R3:U3)</f>
        <v>0</v>
      </c>
      <c r="L3" s="21">
        <f>AVERAGE('R0025_Gen1_100%'!V3:Y3)</f>
        <v>100</v>
      </c>
      <c r="M3" s="21">
        <f>_xlfn.STDEV.P('R0025_Gen1_100%'!V3:Y3)</f>
        <v>0</v>
      </c>
    </row>
    <row r="4" spans="1:13" s="24" customFormat="1" x14ac:dyDescent="0.25">
      <c r="A4" s="22" t="s">
        <v>12</v>
      </c>
      <c r="B4" s="23">
        <f>AVERAGE('R0025_Gen1_100%'!B4:E4)</f>
        <v>4.3178004543076316</v>
      </c>
      <c r="C4" s="23">
        <f>_xlfn.STDEV.P('R0025_Gen1_100%'!B4:E4)</f>
        <v>0.39084205862776911</v>
      </c>
      <c r="D4" s="23">
        <f>AVERAGE('R0025_Gen1_100%'!F4:I4)</f>
        <v>5.7788543062960063</v>
      </c>
      <c r="E4" s="23">
        <f>_xlfn.STDEV.P('R0025_Gen1_100%'!F4:I4)</f>
        <v>2.0899644686396401</v>
      </c>
      <c r="F4" s="23">
        <f>AVERAGE('R0025_Gen1_100%'!J4:M4)</f>
        <v>3.6952277204561712</v>
      </c>
      <c r="G4" s="23">
        <f>_xlfn.STDEV.P('R0025_Gen1_100%'!J4:M4)</f>
        <v>0.20965755975717587</v>
      </c>
      <c r="H4" s="23">
        <f>AVERAGE('R0025_Gen1_100%'!N4:Q4)</f>
        <v>3.3405845678050641</v>
      </c>
      <c r="I4" s="23">
        <f>_xlfn.STDEV.P('R0025_Gen1_100%'!N4:Q4)</f>
        <v>8.1285647949132664E-2</v>
      </c>
      <c r="J4" s="23">
        <f>AVERAGE('R0025_Gen1_100%'!R4:U4)</f>
        <v>2.5366137778346904</v>
      </c>
      <c r="K4" s="23">
        <f>_xlfn.STDEV.P('R0025_Gen1_100%'!R4:U4)</f>
        <v>0.78418362531476515</v>
      </c>
      <c r="L4" s="23">
        <f>AVERAGE('R0025_Gen1_100%'!V4:Y4)</f>
        <v>2.3933842624820914</v>
      </c>
      <c r="M4" s="23">
        <f>_xlfn.STDEV.P('R0025_Gen1_100%'!V4:Y4)</f>
        <v>1.2773077717128898</v>
      </c>
    </row>
    <row r="5" spans="1:13" x14ac:dyDescent="0.25">
      <c r="A5" s="2" t="s">
        <v>200</v>
      </c>
      <c r="B5" s="16">
        <f>AVERAGE('R0025_Gen1_100%'!B5:E5)</f>
        <v>7.1913591262232027E-2</v>
      </c>
      <c r="C5" s="16">
        <f>_xlfn.STDEV.P('R0025_Gen1_100%'!B5:E5)</f>
        <v>2.4569985166357024E-2</v>
      </c>
      <c r="D5" s="16">
        <f>AVERAGE('R0025_Gen1_100%'!F5:I5)</f>
        <v>5.5860182287691809E-2</v>
      </c>
      <c r="E5" s="16">
        <f>_xlfn.STDEV.P('R0025_Gen1_100%'!F5:I5)</f>
        <v>5.8686829791799282E-2</v>
      </c>
      <c r="F5" s="16">
        <f>AVERAGE('R0025_Gen1_100%'!J5:M5)</f>
        <v>3.2104964036222212E-2</v>
      </c>
      <c r="G5" s="16">
        <f>_xlfn.STDEV.P('R0025_Gen1_100%'!J5:M5)</f>
        <v>3.9745235589763034E-2</v>
      </c>
      <c r="H5" s="16">
        <f>AVERAGE('R0025_Gen1_100%'!N5:Q5)</f>
        <v>0.42934219749015701</v>
      </c>
      <c r="I5" s="16">
        <f>_xlfn.STDEV.P('R0025_Gen1_100%'!N5:Q5)</f>
        <v>0.22149669679611961</v>
      </c>
      <c r="J5" s="16">
        <f>AVERAGE('R0025_Gen1_100%'!R5:U5)</f>
        <v>0.10262526263842259</v>
      </c>
      <c r="K5" s="16">
        <f>_xlfn.STDEV.P('R0025_Gen1_100%'!R5:U5)</f>
        <v>0.17775216902984797</v>
      </c>
      <c r="L5" s="16">
        <f>AVERAGE('R0025_Gen1_100%'!V5:Y5)</f>
        <v>0</v>
      </c>
      <c r="M5" s="16">
        <f>_xlfn.STDEV.P('R0025_Gen1_100%'!V5:Y5)</f>
        <v>0</v>
      </c>
    </row>
    <row r="6" spans="1:13" x14ac:dyDescent="0.25">
      <c r="A6" s="2" t="s">
        <v>201</v>
      </c>
      <c r="B6" s="16">
        <f>AVERAGE('R0025_Gen1_100%'!B6:E6)</f>
        <v>0.45974445918708273</v>
      </c>
      <c r="C6" s="16">
        <f>_xlfn.STDEV.P('R0025_Gen1_100%'!B6:E6)</f>
        <v>0.317264481432734</v>
      </c>
      <c r="D6" s="16">
        <f>AVERAGE('R0025_Gen1_100%'!F6:I6)</f>
        <v>5.7326584900929907E-2</v>
      </c>
      <c r="E6" s="16">
        <f>_xlfn.STDEV.P('R0025_Gen1_100%'!F6:I6)</f>
        <v>8.3518596074000723E-2</v>
      </c>
      <c r="F6" s="16">
        <f>AVERAGE('R0025_Gen1_100%'!J6:M6)</f>
        <v>8.1120545130063271E-3</v>
      </c>
      <c r="G6" s="16">
        <f>_xlfn.STDEV.P('R0025_Gen1_100%'!J6:M6)</f>
        <v>1.4050490570295365E-2</v>
      </c>
      <c r="H6" s="16">
        <f>AVERAGE('R0025_Gen1_100%'!N6:Q6)</f>
        <v>0.40794428749978873</v>
      </c>
      <c r="I6" s="16">
        <f>_xlfn.STDEV.P('R0025_Gen1_100%'!N6:Q6)</f>
        <v>0.16037704801259284</v>
      </c>
      <c r="J6" s="16">
        <f>AVERAGE('R0025_Gen1_100%'!R6:U6)</f>
        <v>0.15962277900788124</v>
      </c>
      <c r="K6" s="16">
        <f>_xlfn.STDEV.P('R0025_Gen1_100%'!R6:U6)</f>
        <v>0.16088734562596074</v>
      </c>
      <c r="L6" s="16">
        <f>AVERAGE('R0025_Gen1_100%'!V6:Y6)</f>
        <v>5.3646475296633453E-2</v>
      </c>
      <c r="M6" s="16">
        <f>_xlfn.STDEV.P('R0025_Gen1_100%'!V6:Y6)</f>
        <v>9.29184208607578E-2</v>
      </c>
    </row>
    <row r="7" spans="1:13" x14ac:dyDescent="0.25">
      <c r="A7" s="2" t="s">
        <v>202</v>
      </c>
      <c r="B7" s="16">
        <f>AVERAGE('R0025_Gen1_100%'!B7:E7)</f>
        <v>4.2860516879874362E-2</v>
      </c>
      <c r="C7" s="16">
        <f>_xlfn.STDEV.P('R0025_Gen1_100%'!B7:E7)</f>
        <v>2.1598567851637256E-2</v>
      </c>
      <c r="D7" s="16">
        <f>AVERAGE('R0025_Gen1_100%'!F7:I7)</f>
        <v>0.10106680583026602</v>
      </c>
      <c r="E7" s="16">
        <f>_xlfn.STDEV.P('R0025_Gen1_100%'!F7:I7)</f>
        <v>0.10733908737512129</v>
      </c>
      <c r="F7" s="16">
        <f>AVERAGE('R0025_Gen1_100%'!J7:M7)</f>
        <v>0</v>
      </c>
      <c r="G7" s="16">
        <f>_xlfn.STDEV.P('R0025_Gen1_100%'!J7:M7)</f>
        <v>0</v>
      </c>
      <c r="H7" s="16">
        <f>AVERAGE('R0025_Gen1_100%'!N7:Q7)</f>
        <v>0.16020001244737625</v>
      </c>
      <c r="I7" s="16">
        <f>_xlfn.STDEV.P('R0025_Gen1_100%'!N7:Q7)</f>
        <v>0.19004114124731056</v>
      </c>
      <c r="J7" s="16">
        <f>AVERAGE('R0025_Gen1_100%'!R7:U7)</f>
        <v>0.31740928225872778</v>
      </c>
      <c r="K7" s="16">
        <f>_xlfn.STDEV.P('R0025_Gen1_100%'!R7:U7)</f>
        <v>0.54976900366608716</v>
      </c>
      <c r="L7" s="16">
        <f>AVERAGE('R0025_Gen1_100%'!V7:Y7)</f>
        <v>0.84512554696685738</v>
      </c>
      <c r="M7" s="16">
        <f>_xlfn.STDEV.P('R0025_Gen1_100%'!V7:Y7)</f>
        <v>1.4189036532578789</v>
      </c>
    </row>
    <row r="8" spans="1:13" x14ac:dyDescent="0.25">
      <c r="A8" s="2" t="s">
        <v>203</v>
      </c>
      <c r="B8" s="16">
        <f>AVERAGE('R0025_Gen1_100%'!B8:E8)</f>
        <v>0.36512042952204438</v>
      </c>
      <c r="C8" s="16">
        <f>_xlfn.STDEV.P('R0025_Gen1_100%'!B8:E8)</f>
        <v>6.753157436796646E-2</v>
      </c>
      <c r="D8" s="16">
        <f>AVERAGE('R0025_Gen1_100%'!F8:I8)</f>
        <v>1.4046331869855058</v>
      </c>
      <c r="E8" s="16">
        <f>_xlfn.STDEV.P('R0025_Gen1_100%'!F8:I8)</f>
        <v>2.2476014335687942</v>
      </c>
      <c r="F8" s="16">
        <f>AVERAGE('R0025_Gen1_100%'!J8:M8)</f>
        <v>2.0542135308531499E-2</v>
      </c>
      <c r="G8" s="16">
        <f>_xlfn.STDEV.P('R0025_Gen1_100%'!J8:M8)</f>
        <v>2.1430586202599862E-2</v>
      </c>
      <c r="H8" s="16">
        <f>AVERAGE('R0025_Gen1_100%'!N8:Q8)</f>
        <v>4.2576327112416656E-2</v>
      </c>
      <c r="I8" s="16">
        <f>_xlfn.STDEV.P('R0025_Gen1_100%'!N8:Q8)</f>
        <v>4.456091545150969E-2</v>
      </c>
      <c r="J8" s="16">
        <f>AVERAGE('R0025_Gen1_100%'!R8:U8)</f>
        <v>3.9341111761262509E-2</v>
      </c>
      <c r="K8" s="16">
        <f>_xlfn.STDEV.P('R0025_Gen1_100%'!R8:U8)</f>
        <v>4.7029289147556129E-2</v>
      </c>
      <c r="L8" s="16">
        <f>AVERAGE('R0025_Gen1_100%'!V8:Y8)</f>
        <v>9.8234890538264827E-2</v>
      </c>
      <c r="M8" s="16">
        <f>_xlfn.STDEV.P('R0025_Gen1_100%'!V8:Y8)</f>
        <v>0.17014782148824184</v>
      </c>
    </row>
    <row r="9" spans="1:13" x14ac:dyDescent="0.25">
      <c r="A9" s="2" t="s">
        <v>204</v>
      </c>
      <c r="B9" s="16">
        <f>AVERAGE('R0025_Gen1_100%'!B9:E9)</f>
        <v>3.3781614574563972</v>
      </c>
      <c r="C9" s="16">
        <f>_xlfn.STDEV.P('R0025_Gen1_100%'!B9:E9)</f>
        <v>0.39754644178145809</v>
      </c>
      <c r="D9" s="16">
        <f>AVERAGE('R0025_Gen1_100%'!F9:I9)</f>
        <v>4.1599675462916137</v>
      </c>
      <c r="E9" s="16">
        <f>_xlfn.STDEV.P('R0025_Gen1_100%'!F9:I9)</f>
        <v>0.45966264915150717</v>
      </c>
      <c r="F9" s="16">
        <f>AVERAGE('R0025_Gen1_100%'!J9:M9)</f>
        <v>3.6344685665984109</v>
      </c>
      <c r="G9" s="16">
        <f>_xlfn.STDEV.P('R0025_Gen1_100%'!J9:M9)</f>
        <v>0.17894071676674056</v>
      </c>
      <c r="H9" s="16">
        <f>AVERAGE('R0025_Gen1_100%'!N9:Q9)</f>
        <v>2.3005217432553255</v>
      </c>
      <c r="I9" s="16">
        <f>_xlfn.STDEV.P('R0025_Gen1_100%'!N9:Q9)</f>
        <v>0.30902368671231201</v>
      </c>
      <c r="J9" s="16">
        <f>AVERAGE('R0025_Gen1_100%'!R9:U9)</f>
        <v>1.9176153421683966</v>
      </c>
      <c r="K9" s="16">
        <f>_xlfn.STDEV.P('R0025_Gen1_100%'!R9:U9)</f>
        <v>0.29324247910679213</v>
      </c>
      <c r="L9" s="16">
        <f>AVERAGE('R0025_Gen1_100%'!V9:Y9)</f>
        <v>1.3963773496803358</v>
      </c>
      <c r="M9" s="16">
        <f>_xlfn.STDEV.P('R0025_Gen1_100%'!V9:Y9)</f>
        <v>0.11289083625144977</v>
      </c>
    </row>
    <row r="10" spans="1:13" s="10" customFormat="1" x14ac:dyDescent="0.25">
      <c r="A10" s="14" t="s">
        <v>20</v>
      </c>
      <c r="B10" s="18">
        <f>AVERAGE('R0025_Gen1_100%'!B10:E10)</f>
        <v>95.682199545692356</v>
      </c>
      <c r="C10" s="18">
        <f>_xlfn.STDEV.P('R0025_Gen1_100%'!B10:E10)</f>
        <v>0.39084205862777555</v>
      </c>
      <c r="D10" s="18">
        <f>AVERAGE('R0025_Gen1_100%'!F10:I10)</f>
        <v>94.221145693703988</v>
      </c>
      <c r="E10" s="18">
        <f>_xlfn.STDEV.P('R0025_Gen1_100%'!F10:I10)</f>
        <v>2.0899644686396397</v>
      </c>
      <c r="F10" s="18">
        <f>AVERAGE('R0025_Gen1_100%'!J10:M10)</f>
        <v>96.30477227954384</v>
      </c>
      <c r="G10" s="18">
        <f>_xlfn.STDEV.P('R0025_Gen1_100%'!J10:M10)</f>
        <v>0.20965755975718106</v>
      </c>
      <c r="H10" s="18">
        <f>AVERAGE('R0025_Gen1_100%'!N10:Q10)</f>
        <v>96.659415432194933</v>
      </c>
      <c r="I10" s="18">
        <f>_xlfn.STDEV.P('R0025_Gen1_100%'!N10:Q10)</f>
        <v>8.1285647949134149E-2</v>
      </c>
      <c r="J10" s="18">
        <f>AVERAGE('R0025_Gen1_100%'!R10:U10)</f>
        <v>97.463386222165312</v>
      </c>
      <c r="K10" s="18">
        <f>_xlfn.STDEV.P('R0025_Gen1_100%'!R10:U10)</f>
        <v>0.78418362531477526</v>
      </c>
      <c r="L10" s="18">
        <f>AVERAGE('R0025_Gen1_100%'!V10:Y10)</f>
        <v>97.606615737517899</v>
      </c>
      <c r="M10" s="18">
        <f>_xlfn.STDEV.P('R0025_Gen1_100%'!V10:Y10)</f>
        <v>1.2773077717128973</v>
      </c>
    </row>
    <row r="11" spans="1:13" s="11" customFormat="1" x14ac:dyDescent="0.25">
      <c r="A11" s="15" t="s">
        <v>17</v>
      </c>
      <c r="B11" s="17">
        <f>AVERAGE('R0025_Gen1_100%'!B11:E11)</f>
        <v>54.500770355578723</v>
      </c>
      <c r="C11" s="17">
        <f>_xlfn.STDEV.P('R0025_Gen1_100%'!B11:E11)</f>
        <v>2.7626095970869806</v>
      </c>
      <c r="D11" s="17">
        <f>AVERAGE('R0025_Gen1_100%'!F11:I11)</f>
        <v>57.761414327903267</v>
      </c>
      <c r="E11" s="17">
        <f>_xlfn.STDEV.P('R0025_Gen1_100%'!F11:I11)</f>
        <v>0.70108171562385868</v>
      </c>
      <c r="F11" s="17">
        <f>AVERAGE('R0025_Gen1_100%'!J11:M11)</f>
        <v>60.996895067719606</v>
      </c>
      <c r="G11" s="17">
        <f>_xlfn.STDEV.P('R0025_Gen1_100%'!J11:M11)</f>
        <v>2.0036266886311718</v>
      </c>
      <c r="H11" s="17">
        <f>AVERAGE('R0025_Gen1_100%'!N11:Q11)</f>
        <v>61.290402989247035</v>
      </c>
      <c r="I11" s="17">
        <f>_xlfn.STDEV.P('R0025_Gen1_100%'!N11:Q11)</f>
        <v>2.3103477099456806</v>
      </c>
      <c r="J11" s="17">
        <f>AVERAGE('R0025_Gen1_100%'!R11:U11)</f>
        <v>54.939496567471913</v>
      </c>
      <c r="K11" s="17">
        <f>_xlfn.STDEV.P('R0025_Gen1_100%'!R11:U11)</f>
        <v>3.0755873228327246</v>
      </c>
      <c r="L11" s="17">
        <f>AVERAGE('R0025_Gen1_100%'!V11:Y11)</f>
        <v>30.846117206532234</v>
      </c>
      <c r="M11" s="17">
        <f>_xlfn.STDEV.P('R0025_Gen1_100%'!V11:Y11)</f>
        <v>7.1419029563264775</v>
      </c>
    </row>
    <row r="12" spans="1:13" x14ac:dyDescent="0.25">
      <c r="A12" s="2" t="s">
        <v>205</v>
      </c>
      <c r="B12" s="16">
        <f>AVERAGE('R0025_Gen1_100%'!B12:E12)</f>
        <v>51.188007290045029</v>
      </c>
      <c r="C12" s="16">
        <f>_xlfn.STDEV.P('R0025_Gen1_100%'!B12:E12)</f>
        <v>1.0897562874826068</v>
      </c>
      <c r="D12" s="16">
        <f>AVERAGE('R0025_Gen1_100%'!F12:I12)</f>
        <v>53.841535642100126</v>
      </c>
      <c r="E12" s="16">
        <f>_xlfn.STDEV.P('R0025_Gen1_100%'!F12:I12)</f>
        <v>0.906732144061416</v>
      </c>
      <c r="F12" s="16">
        <f>AVERAGE('R0025_Gen1_100%'!J12:M12)</f>
        <v>54.684714805191085</v>
      </c>
      <c r="G12" s="16">
        <f>_xlfn.STDEV.P('R0025_Gen1_100%'!J12:M12)</f>
        <v>1.2407227169804875</v>
      </c>
      <c r="H12" s="16">
        <f>AVERAGE('R0025_Gen1_100%'!N12:Q12)</f>
        <v>49.860786837067302</v>
      </c>
      <c r="I12" s="16">
        <f>_xlfn.STDEV.P('R0025_Gen1_100%'!N12:Q12)</f>
        <v>2.9232562322349964</v>
      </c>
      <c r="J12" s="16">
        <f>AVERAGE('R0025_Gen1_100%'!R12:U12)</f>
        <v>38.762860717997725</v>
      </c>
      <c r="K12" s="16">
        <f>_xlfn.STDEV.P('R0025_Gen1_100%'!R12:U12)</f>
        <v>1.8206220987821755</v>
      </c>
      <c r="L12" s="16">
        <f>AVERAGE('R0025_Gen1_100%'!V12:Y12)</f>
        <v>17.960711995203081</v>
      </c>
      <c r="M12" s="16">
        <f>_xlfn.STDEV.P('R0025_Gen1_100%'!V12:Y12)</f>
        <v>3.1657119289543805</v>
      </c>
    </row>
    <row r="13" spans="1:13" x14ac:dyDescent="0.25">
      <c r="A13" s="2" t="s">
        <v>206</v>
      </c>
      <c r="B13" s="16">
        <f>AVERAGE('R0025_Gen1_100%'!B13:E13)</f>
        <v>2.2910704733726748</v>
      </c>
      <c r="C13" s="16">
        <f>_xlfn.STDEV.P('R0025_Gen1_100%'!B13:E13)</f>
        <v>2.8847999568113729</v>
      </c>
      <c r="D13" s="16">
        <f>AVERAGE('R0025_Gen1_100%'!F13:I13)</f>
        <v>0.23108803165584396</v>
      </c>
      <c r="E13" s="16">
        <f>_xlfn.STDEV.P('R0025_Gen1_100%'!F13:I13)</f>
        <v>5.7709583448736175E-2</v>
      </c>
      <c r="F13" s="16">
        <f>AVERAGE('R0025_Gen1_100%'!J13:M13)</f>
        <v>1.2971128393113365</v>
      </c>
      <c r="G13" s="16">
        <f>_xlfn.STDEV.P('R0025_Gen1_100%'!J13:M13)</f>
        <v>0.67743280640246917</v>
      </c>
      <c r="H13" s="16">
        <f>AVERAGE('R0025_Gen1_100%'!N13:Q13)</f>
        <v>1.01966173276858</v>
      </c>
      <c r="I13" s="16">
        <f>_xlfn.STDEV.P('R0025_Gen1_100%'!N13:Q13)</f>
        <v>0.47739816241225153</v>
      </c>
      <c r="J13" s="16">
        <f>AVERAGE('R0025_Gen1_100%'!R13:U13)</f>
        <v>0.53802849652584361</v>
      </c>
      <c r="K13" s="16">
        <f>_xlfn.STDEV.P('R0025_Gen1_100%'!R13:U13)</f>
        <v>0.27163697851758078</v>
      </c>
      <c r="L13" s="16">
        <f>AVERAGE('R0025_Gen1_100%'!V13:Y13)</f>
        <v>0.75832612873187366</v>
      </c>
      <c r="M13" s="16">
        <f>_xlfn.STDEV.P('R0025_Gen1_100%'!V13:Y13)</f>
        <v>1.2883073286970723</v>
      </c>
    </row>
    <row r="14" spans="1:13" x14ac:dyDescent="0.25">
      <c r="A14" s="2" t="s">
        <v>207</v>
      </c>
      <c r="B14" s="16">
        <f>AVERAGE('R0025_Gen1_100%'!B14:E14)</f>
        <v>0.58096490767027864</v>
      </c>
      <c r="C14" s="16">
        <f>_xlfn.STDEV.P('R0025_Gen1_100%'!B14:E14)</f>
        <v>0.21173573981167579</v>
      </c>
      <c r="D14" s="16">
        <f>AVERAGE('R0025_Gen1_100%'!F14:I14)</f>
        <v>3.1994917010957238</v>
      </c>
      <c r="E14" s="16">
        <f>_xlfn.STDEV.P('R0025_Gen1_100%'!F14:I14)</f>
        <v>1.1050039763825312</v>
      </c>
      <c r="F14" s="16">
        <f>AVERAGE('R0025_Gen1_100%'!J14:M14)</f>
        <v>4.3689107057560754</v>
      </c>
      <c r="G14" s="16">
        <f>_xlfn.STDEV.P('R0025_Gen1_100%'!J14:M14)</f>
        <v>2.4806267251181788</v>
      </c>
      <c r="H14" s="16">
        <f>AVERAGE('R0025_Gen1_100%'!N14:Q14)</f>
        <v>9.411004514049452</v>
      </c>
      <c r="I14" s="16">
        <f>_xlfn.STDEV.P('R0025_Gen1_100%'!N14:Q14)</f>
        <v>1.1913866953852386</v>
      </c>
      <c r="J14" s="16">
        <f>AVERAGE('R0025_Gen1_100%'!R14:U14)</f>
        <v>15.450156175380055</v>
      </c>
      <c r="K14" s="16">
        <f>_xlfn.STDEV.P('R0025_Gen1_100%'!R14:U14)</f>
        <v>1.1229559877653967</v>
      </c>
      <c r="L14" s="16">
        <f>AVERAGE('R0025_Gen1_100%'!V14:Y14)</f>
        <v>11.555887032254684</v>
      </c>
      <c r="M14" s="16">
        <f>_xlfn.STDEV.P('R0025_Gen1_100%'!V14:Y14)</f>
        <v>5.9870026972695314</v>
      </c>
    </row>
    <row r="15" spans="1:13" x14ac:dyDescent="0.25">
      <c r="A15" s="2" t="s">
        <v>208</v>
      </c>
      <c r="B15" s="16">
        <f>AVERAGE('R0025_Gen1_100%'!B15:E15)</f>
        <v>0.33816462554806254</v>
      </c>
      <c r="C15" s="16">
        <f>_xlfn.STDEV.P('R0025_Gen1_100%'!B15:E15)</f>
        <v>0.25054596949828917</v>
      </c>
      <c r="D15" s="16">
        <f>AVERAGE('R0025_Gen1_100%'!F15:I15)</f>
        <v>0.4538306020048688</v>
      </c>
      <c r="E15" s="16">
        <f>_xlfn.STDEV.P('R0025_Gen1_100%'!F15:I15)</f>
        <v>0.29138643255268215</v>
      </c>
      <c r="F15" s="16">
        <f>AVERAGE('R0025_Gen1_100%'!J15:M15)</f>
        <v>0.59813516458574978</v>
      </c>
      <c r="G15" s="16">
        <f>_xlfn.STDEV.P('R0025_Gen1_100%'!J15:M15)</f>
        <v>0.30946415007915973</v>
      </c>
      <c r="H15" s="16">
        <f>AVERAGE('R0025_Gen1_100%'!N15:Q15)</f>
        <v>0.9774439149824159</v>
      </c>
      <c r="I15" s="16">
        <f>_xlfn.STDEV.P('R0025_Gen1_100%'!N15:Q15)</f>
        <v>0.727140566583375</v>
      </c>
      <c r="J15" s="16">
        <f>AVERAGE('R0025_Gen1_100%'!R15:U15)</f>
        <v>0.16185748925642415</v>
      </c>
      <c r="K15" s="16">
        <f>_xlfn.STDEV.P('R0025_Gen1_100%'!R15:U15)</f>
        <v>0.17025280725239078</v>
      </c>
      <c r="L15" s="16">
        <f>AVERAGE('R0025_Gen1_100%'!V15:Y15)</f>
        <v>0.57119205034259735</v>
      </c>
      <c r="M15" s="16">
        <f>_xlfn.STDEV.P('R0025_Gen1_100%'!V15:Y15)</f>
        <v>0.3917676615693062</v>
      </c>
    </row>
    <row r="16" spans="1:13" x14ac:dyDescent="0.25">
      <c r="A16" s="2" t="s">
        <v>209</v>
      </c>
      <c r="B16" s="16">
        <f>AVERAGE('R0025_Gen1_100%'!B16:E16)</f>
        <v>9.5907578860710857E-2</v>
      </c>
      <c r="C16" s="16">
        <f>_xlfn.STDEV.P('R0025_Gen1_100%'!B16:E16)</f>
        <v>5.8521662120470656E-2</v>
      </c>
      <c r="D16" s="16">
        <f>AVERAGE('R0025_Gen1_100%'!F16:I16)</f>
        <v>3.5468351046706335E-2</v>
      </c>
      <c r="E16" s="16">
        <f>_xlfn.STDEV.P('R0025_Gen1_100%'!F16:I16)</f>
        <v>2.2270857759443877E-2</v>
      </c>
      <c r="F16" s="16">
        <f>AVERAGE('R0025_Gen1_100%'!J16:M16)</f>
        <v>4.8021552875364096E-2</v>
      </c>
      <c r="G16" s="16">
        <f>_xlfn.STDEV.P('R0025_Gen1_100%'!J16:M16)</f>
        <v>3.2189982485856666E-2</v>
      </c>
      <c r="H16" s="16">
        <f>AVERAGE('R0025_Gen1_100%'!N16:Q16)</f>
        <v>2.150599037928054E-2</v>
      </c>
      <c r="I16" s="16">
        <f>_xlfn.STDEV.P('R0025_Gen1_100%'!N16:Q16)</f>
        <v>2.8833168532076271E-2</v>
      </c>
      <c r="J16" s="16">
        <f>AVERAGE('R0025_Gen1_100%'!R16:U16)</f>
        <v>2.659368831186416E-2</v>
      </c>
      <c r="K16" s="16">
        <f>_xlfn.STDEV.P('R0025_Gen1_100%'!R16:U16)</f>
        <v>1.875334105826058E-2</v>
      </c>
      <c r="L16" s="16">
        <f>AVERAGE('R0025_Gen1_100%'!V16:Y16)</f>
        <v>0</v>
      </c>
      <c r="M16" s="16">
        <f>_xlfn.STDEV.P('R0025_Gen1_100%'!V16:Y16)</f>
        <v>0</v>
      </c>
    </row>
    <row r="17" spans="1:13" s="20" customFormat="1" x14ac:dyDescent="0.25">
      <c r="A17" s="12" t="s">
        <v>18</v>
      </c>
      <c r="B17" s="19">
        <f>AVERAGE('R0025_Gen1_100%'!B17:E17)</f>
        <v>41.181429190113647</v>
      </c>
      <c r="C17" s="19">
        <f>_xlfn.STDEV.P('R0025_Gen1_100%'!B17:E17)</f>
        <v>2.7773652332489065</v>
      </c>
      <c r="D17" s="19">
        <f>AVERAGE('R0025_Gen1_100%'!F17:I17)</f>
        <v>36.459731365800721</v>
      </c>
      <c r="E17" s="19">
        <f>_xlfn.STDEV.P('R0025_Gen1_100%'!F17:I17)</f>
        <v>1.5753427554273005</v>
      </c>
      <c r="F17" s="19">
        <f>AVERAGE('R0025_Gen1_100%'!J17:M17)</f>
        <v>35.30787721182422</v>
      </c>
      <c r="G17" s="19">
        <f>_xlfn.STDEV.P('R0025_Gen1_100%'!J17:M17)</f>
        <v>1.9004243169177422</v>
      </c>
      <c r="H17" s="19">
        <f>AVERAGE('R0025_Gen1_100%'!N17:Q17)</f>
        <v>35.369012442947898</v>
      </c>
      <c r="I17" s="19">
        <f>_xlfn.STDEV.P('R0025_Gen1_100%'!N17:Q17)</f>
        <v>2.3207811295467375</v>
      </c>
      <c r="J17" s="19">
        <f>AVERAGE('R0025_Gen1_100%'!R17:U17)</f>
        <v>42.523889654693392</v>
      </c>
      <c r="K17" s="19">
        <f>_xlfn.STDEV.P('R0025_Gen1_100%'!R17:U17)</f>
        <v>3.6962229857061875</v>
      </c>
      <c r="L17" s="19">
        <f>AVERAGE('R0025_Gen1_100%'!V17:Y17)</f>
        <v>66.760498530985672</v>
      </c>
      <c r="M17" s="19">
        <f>_xlfn.STDEV.P('R0025_Gen1_100%'!V17:Y17)</f>
        <v>6.5829833220155916</v>
      </c>
    </row>
    <row r="18" spans="1:13" x14ac:dyDescent="0.25">
      <c r="A18" s="2" t="s">
        <v>210</v>
      </c>
      <c r="B18" s="16">
        <f>AVERAGE('R0025_Gen1_100%'!B18:E18)</f>
        <v>0.24876819291011909</v>
      </c>
      <c r="C18" s="16">
        <f>_xlfn.STDEV.P('R0025_Gen1_100%'!B18:E18)</f>
        <v>0.10086482456985403</v>
      </c>
      <c r="D18" s="16">
        <f>AVERAGE('R0025_Gen1_100%'!F18:I18)</f>
        <v>2.6960552454829246E-2</v>
      </c>
      <c r="E18" s="16">
        <f>_xlfn.STDEV.P('R0025_Gen1_100%'!F18:I18)</f>
        <v>4.6697046651890076E-2</v>
      </c>
      <c r="F18" s="16">
        <f>AVERAGE('R0025_Gen1_100%'!J18:M18)</f>
        <v>0</v>
      </c>
      <c r="G18" s="16">
        <f>_xlfn.STDEV.P('R0025_Gen1_100%'!J18:M18)</f>
        <v>0</v>
      </c>
      <c r="H18" s="16">
        <f>AVERAGE('R0025_Gen1_100%'!N18:Q18)</f>
        <v>0.12134233821606001</v>
      </c>
      <c r="I18" s="16">
        <f>_xlfn.STDEV.P('R0025_Gen1_100%'!N18:Q18)</f>
        <v>0.10644851107454792</v>
      </c>
      <c r="J18" s="16">
        <f>AVERAGE('R0025_Gen1_100%'!R18:U18)</f>
        <v>0.59786319926149012</v>
      </c>
      <c r="K18" s="16">
        <f>_xlfn.STDEV.P('R0025_Gen1_100%'!R18:U18)</f>
        <v>0.77246757742162708</v>
      </c>
      <c r="L18" s="16">
        <f>AVERAGE('R0025_Gen1_100%'!V18:Y18)</f>
        <v>0.50226044540971837</v>
      </c>
      <c r="M18" s="16">
        <f>_xlfn.STDEV.P('R0025_Gen1_100%'!V18:Y18)</f>
        <v>0.52147536300165098</v>
      </c>
    </row>
    <row r="19" spans="1:13" x14ac:dyDescent="0.25">
      <c r="A19" s="2" t="s">
        <v>211</v>
      </c>
      <c r="B19" s="16">
        <f>AVERAGE('R0025_Gen1_100%'!B19:E19)</f>
        <v>39.65730273784969</v>
      </c>
      <c r="C19" s="16">
        <f>_xlfn.STDEV.P('R0025_Gen1_100%'!B19:E19)</f>
        <v>2.5708798399965822</v>
      </c>
      <c r="D19" s="16">
        <f>AVERAGE('R0025_Gen1_100%'!F19:I19)</f>
        <v>33.473181226714516</v>
      </c>
      <c r="E19" s="16">
        <f>_xlfn.STDEV.P('R0025_Gen1_100%'!F19:I19)</f>
        <v>1.0736415489706328</v>
      </c>
      <c r="F19" s="16">
        <f>AVERAGE('R0025_Gen1_100%'!J19:M19)</f>
        <v>30.269393347687291</v>
      </c>
      <c r="G19" s="16">
        <f>_xlfn.STDEV.P('R0025_Gen1_100%'!J19:M19)</f>
        <v>1.6943353233484024</v>
      </c>
      <c r="H19" s="16">
        <f>AVERAGE('R0025_Gen1_100%'!N19:Q19)</f>
        <v>27.96694074214226</v>
      </c>
      <c r="I19" s="16">
        <f>_xlfn.STDEV.P('R0025_Gen1_100%'!N19:Q19)</f>
        <v>2.1773023010608137</v>
      </c>
      <c r="J19" s="16">
        <f>AVERAGE('R0025_Gen1_100%'!R19:U19)</f>
        <v>21.393678757461984</v>
      </c>
      <c r="K19" s="16">
        <f>_xlfn.STDEV.P('R0025_Gen1_100%'!R19:U19)</f>
        <v>1.9981512024235011</v>
      </c>
      <c r="L19" s="16">
        <f>AVERAGE('R0025_Gen1_100%'!V19:Y19)</f>
        <v>10.675604339773979</v>
      </c>
      <c r="M19" s="16">
        <f>_xlfn.STDEV.P('R0025_Gen1_100%'!V19:Y19)</f>
        <v>0.71007214446570532</v>
      </c>
    </row>
    <row r="20" spans="1:13" x14ac:dyDescent="0.25">
      <c r="A20" s="2" t="s">
        <v>212</v>
      </c>
      <c r="B20" s="16">
        <f>AVERAGE('R0025_Gen1_100%'!B20:E20)</f>
        <v>0.21979613394244432</v>
      </c>
      <c r="C20" s="16">
        <f>_xlfn.STDEV.P('R0025_Gen1_100%'!B20:E20)</f>
        <v>6.7481767507898971E-2</v>
      </c>
      <c r="D20" s="16">
        <f>AVERAGE('R0025_Gen1_100%'!F20:I20)</f>
        <v>0.95626696223398</v>
      </c>
      <c r="E20" s="16">
        <f>_xlfn.STDEV.P('R0025_Gen1_100%'!F20:I20)</f>
        <v>0.41579113002516921</v>
      </c>
      <c r="F20" s="16">
        <f>AVERAGE('R0025_Gen1_100%'!J20:M20)</f>
        <v>1.3972333311154261</v>
      </c>
      <c r="G20" s="16">
        <f>_xlfn.STDEV.P('R0025_Gen1_100%'!J20:M20)</f>
        <v>0.25815759181975467</v>
      </c>
      <c r="H20" s="16">
        <f>AVERAGE('R0025_Gen1_100%'!N20:Q20)</f>
        <v>3.2242772033673912</v>
      </c>
      <c r="I20" s="16">
        <f>_xlfn.STDEV.P('R0025_Gen1_100%'!N20:Q20)</f>
        <v>0.84263661112814281</v>
      </c>
      <c r="J20" s="16">
        <f>AVERAGE('R0025_Gen1_100%'!R20:U20)</f>
        <v>15.374165485812089</v>
      </c>
      <c r="K20" s="16">
        <f>_xlfn.STDEV.P('R0025_Gen1_100%'!R20:U20)</f>
        <v>3.358039916606927</v>
      </c>
      <c r="L20" s="16">
        <f>AVERAGE('R0025_Gen1_100%'!V20:Y20)</f>
        <v>42.519927607354155</v>
      </c>
      <c r="M20" s="16">
        <f>_xlfn.STDEV.P('R0025_Gen1_100%'!V20:Y20)</f>
        <v>6.6444354082137718</v>
      </c>
    </row>
    <row r="21" spans="1:13" x14ac:dyDescent="0.25">
      <c r="A21" s="2" t="s">
        <v>213</v>
      </c>
      <c r="B21" s="16">
        <f>AVERAGE('R0025_Gen1_100%'!B21:E21)</f>
        <v>0.87671372400281067</v>
      </c>
      <c r="C21" s="16">
        <f>_xlfn.STDEV.P('R0025_Gen1_100%'!B21:E21)</f>
        <v>0.11728329421083636</v>
      </c>
      <c r="D21" s="16">
        <f>AVERAGE('R0025_Gen1_100%'!F21:I21)</f>
        <v>1.749869170346199</v>
      </c>
      <c r="E21" s="16">
        <f>_xlfn.STDEV.P('R0025_Gen1_100%'!F21:I21)</f>
        <v>0.33019498288285187</v>
      </c>
      <c r="F21" s="16">
        <f>AVERAGE('R0025_Gen1_100%'!J21:M21)</f>
        <v>3.2645015209836878</v>
      </c>
      <c r="G21" s="16">
        <f>_xlfn.STDEV.P('R0025_Gen1_100%'!J21:M21)</f>
        <v>0.17810728075282714</v>
      </c>
      <c r="H21" s="16">
        <f>AVERAGE('R0025_Gen1_100%'!N21:Q21)</f>
        <v>3.7714173029665412</v>
      </c>
      <c r="I21" s="16">
        <f>_xlfn.STDEV.P('R0025_Gen1_100%'!N21:Q21)</f>
        <v>1.5024271623539729</v>
      </c>
      <c r="J21" s="16">
        <f>AVERAGE('R0025_Gen1_100%'!R21:U21)</f>
        <v>5.0228497634097895</v>
      </c>
      <c r="K21" s="16">
        <f>_xlfn.STDEV.P('R0025_Gen1_100%'!R21:U21)</f>
        <v>0.94211810913393801</v>
      </c>
      <c r="L21" s="16">
        <f>AVERAGE('R0025_Gen1_100%'!V21:Y21)</f>
        <v>12.947125425482769</v>
      </c>
      <c r="M21" s="16">
        <f>_xlfn.STDEV.P('R0025_Gen1_100%'!V21:Y21)</f>
        <v>1.0346553647176415</v>
      </c>
    </row>
    <row r="22" spans="1:13" x14ac:dyDescent="0.25">
      <c r="A22" s="2" t="s">
        <v>214</v>
      </c>
      <c r="B22" s="16">
        <f>AVERAGE('R0025_Gen1_100%'!B22:E22)</f>
        <v>0.17884840140857761</v>
      </c>
      <c r="C22" s="16">
        <f>_xlfn.STDEV.P('R0025_Gen1_100%'!B22:E22)</f>
        <v>7.1823459003499249E-2</v>
      </c>
      <c r="D22" s="16">
        <f>AVERAGE('R0025_Gen1_100%'!F22:I22)</f>
        <v>0.2534534540511974</v>
      </c>
      <c r="E22" s="16">
        <f>_xlfn.STDEV.P('R0025_Gen1_100%'!F22:I22)</f>
        <v>6.3091126631475175E-2</v>
      </c>
      <c r="F22" s="16">
        <f>AVERAGE('R0025_Gen1_100%'!J22:M22)</f>
        <v>0.37674901203781286</v>
      </c>
      <c r="G22" s="16">
        <f>_xlfn.STDEV.P('R0025_Gen1_100%'!J22:M22)</f>
        <v>8.743077472257528E-2</v>
      </c>
      <c r="H22" s="16">
        <f>AVERAGE('R0025_Gen1_100%'!N22:Q22)</f>
        <v>0.28503485625564828</v>
      </c>
      <c r="I22" s="16">
        <f>_xlfn.STDEV.P('R0025_Gen1_100%'!N22:Q22)</f>
        <v>5.8507166209613617E-2</v>
      </c>
      <c r="J22" s="16">
        <f>AVERAGE('R0025_Gen1_100%'!R22:U22)</f>
        <v>0.13533244874803646</v>
      </c>
      <c r="K22" s="16">
        <f>_xlfn.STDEV.P('R0025_Gen1_100%'!R22:U22)</f>
        <v>6.313600660298728E-2</v>
      </c>
      <c r="L22" s="16">
        <f>AVERAGE('R0025_Gen1_100%'!V22:Y22)</f>
        <v>0.1155807129650446</v>
      </c>
      <c r="M22" s="16">
        <f>_xlfn.STDEV.P('R0025_Gen1_100%'!V22:Y22)</f>
        <v>0.18263091409302301</v>
      </c>
    </row>
    <row r="24" spans="1:13" x14ac:dyDescent="0.25">
      <c r="B24" s="16">
        <f>B20+B14+B7</f>
        <v>0.84362155849259735</v>
      </c>
      <c r="D24" s="16">
        <f>D7+D14+D20</f>
        <v>4.2568254691599696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FEA7-1489-4ABA-8988-9A6FC45CA798}">
  <sheetPr codeName="Sheet22"/>
  <dimension ref="A1:T42"/>
  <sheetViews>
    <sheetView workbookViewId="0"/>
  </sheetViews>
  <sheetFormatPr defaultRowHeight="15" x14ac:dyDescent="0.25"/>
  <cols>
    <col min="1" max="1" width="14.140625" bestFit="1" customWidth="1"/>
    <col min="2" max="2" width="13.28515625" bestFit="1" customWidth="1"/>
    <col min="4" max="4" width="13.28515625" bestFit="1" customWidth="1"/>
    <col min="6" max="6" width="13.28515625" bestFit="1" customWidth="1"/>
    <col min="8" max="8" width="13.28515625" bestFit="1" customWidth="1"/>
    <col min="10" max="10" width="13.28515625" bestFit="1" customWidth="1"/>
    <col min="12" max="12" width="13.28515625" bestFit="1" customWidth="1"/>
  </cols>
  <sheetData>
    <row r="1" spans="1:18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</row>
    <row r="2" spans="1:18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t="s">
        <v>53</v>
      </c>
    </row>
    <row r="3" spans="1:18" s="9" customFormat="1" x14ac:dyDescent="0.25">
      <c r="A3" s="9" t="s">
        <v>19</v>
      </c>
      <c r="B3" s="21">
        <f>('R0025_Gen1_Averages'!B3)*('R0025_Gen1_Liberation'!$C$8/100)</f>
        <v>7.4349998802576849</v>
      </c>
      <c r="C3" s="21">
        <f>('R0025_Gen1_Averages'!C3)*('R0025_Gen1_Liberation'!$C$8/100)</f>
        <v>0</v>
      </c>
      <c r="D3" s="21">
        <f>'R0025_Gen1_Averages'!D3*('R0025_Gen1_Liberation'!$C$7/100)</f>
        <v>7.5268023214043387</v>
      </c>
      <c r="E3" s="21">
        <f>'R0025_Gen1_Averages'!E3*('R0025_Gen1_Liberation'!$C$7/100)</f>
        <v>0</v>
      </c>
      <c r="F3" s="21">
        <f>'R0025_Gen1_Averages'!F3*('R0025_Gen1_Liberation'!$C$6/100)</f>
        <v>13.477995353998196</v>
      </c>
      <c r="G3" s="21">
        <f>'R0025_Gen1_Averages'!G3*('R0025_Gen1_Liberation'!$C$6/100)</f>
        <v>0</v>
      </c>
      <c r="H3" s="21">
        <f>'R0025_Gen1_Averages'!H3*('R0025_Gen1_Liberation'!$C$5/100)</f>
        <v>22.575417701107213</v>
      </c>
      <c r="I3" s="21">
        <f>'R0025_Gen1_Averages'!I3*('R0025_Gen1_Liberation'!$C$5/100)</f>
        <v>0</v>
      </c>
      <c r="J3" s="21">
        <f>'R0025_Gen1_Averages'!J3*('R0025_Gen1_Liberation'!$C$4/100)</f>
        <v>23.966424255003233</v>
      </c>
      <c r="K3" s="21">
        <f>'R0025_Gen1_Averages'!K3*('R0025_Gen1_Liberation'!$C$4/100)</f>
        <v>0</v>
      </c>
      <c r="L3" s="21">
        <f>'R0025_Gen1_Averages'!L3*('R0025_Gen1_Liberation'!$C$3/100)</f>
        <v>7.6904501512744572</v>
      </c>
      <c r="M3" s="21">
        <f>'R0025_Gen1_Averages'!M3*('R0025_Gen1_Liberation'!$C$3/100)</f>
        <v>0</v>
      </c>
      <c r="P3" s="9">
        <f>B3+D3+F3+H3+J3+L3</f>
        <v>82.672089663045128</v>
      </c>
    </row>
    <row r="4" spans="1:18" s="24" customFormat="1" x14ac:dyDescent="0.25">
      <c r="A4" s="24" t="s">
        <v>12</v>
      </c>
      <c r="B4" s="23">
        <f>'R0025_Gen1_Averages'!B4*('R0025_Gen1_Liberation'!$C$8/100)</f>
        <v>0.3210284586075382</v>
      </c>
      <c r="C4" s="23">
        <f>('R0025_Gen1_Averages'!C4)*('R0025_Gen1_Liberation'!$C$8/100)</f>
        <v>2.9059106590971304E-2</v>
      </c>
      <c r="D4" s="23">
        <f>'R0025_Gen1_Averages'!D4*('R0025_Gen1_Liberation'!$C$7/100)</f>
        <v>0.43496294007686237</v>
      </c>
      <c r="E4" s="23">
        <f>'R0025_Gen1_Averages'!E4*('R0025_Gen1_Liberation'!$C$7/100)</f>
        <v>0.15730749414209427</v>
      </c>
      <c r="F4" s="23">
        <f>'R0025_Gen1_Averages'!F4*('R0025_Gen1_Liberation'!$C$6/100)</f>
        <v>0.49804262048273618</v>
      </c>
      <c r="G4" s="23">
        <f>'R0025_Gen1_Averages'!G4*('R0025_Gen1_Liberation'!$C$6/100)</f>
        <v>2.8257636163378154E-2</v>
      </c>
      <c r="H4" s="23">
        <f>'R0025_Gen1_Averages'!H4*('R0025_Gen1_Liberation'!$C$5/100)</f>
        <v>0.75415091984072036</v>
      </c>
      <c r="I4" s="23">
        <f>'R0025_Gen1_Averages'!I4*('R0025_Gen1_Liberation'!$C$5/100)</f>
        <v>1.835057455556819E-2</v>
      </c>
      <c r="J4" s="23">
        <f>'R0025_Gen1_Averages'!J4*('R0025_Gen1_Liberation'!$C$4/100)</f>
        <v>0.60793561970672705</v>
      </c>
      <c r="K4" s="23">
        <f>'R0025_Gen1_Averages'!K4*('R0025_Gen1_Liberation'!$C$4/100)</f>
        <v>0.18794077458120154</v>
      </c>
      <c r="L4" s="23">
        <f>'R0025_Gen1_Averages'!L4*('R0025_Gen1_Liberation'!$C$3/100)</f>
        <v>0.18406202363463303</v>
      </c>
      <c r="M4" s="23">
        <f>'R0025_Gen1_Averages'!M4*('R0025_Gen1_Liberation'!$C$3/100)</f>
        <v>9.8230717461934333E-2</v>
      </c>
      <c r="O4" s="24" t="s">
        <v>54</v>
      </c>
      <c r="P4" s="24">
        <f>B4+D4+F4+H4+J4+L4</f>
        <v>2.8001825823492172</v>
      </c>
      <c r="R4" s="24" t="s">
        <v>55</v>
      </c>
    </row>
    <row r="5" spans="1:18" x14ac:dyDescent="0.25">
      <c r="A5" t="s">
        <v>8</v>
      </c>
      <c r="B5" s="16">
        <f>'R0025_Gen1_Averages'!B5*('R0025_Gen1_Liberation'!$C$8/100)</f>
        <v>5.3467754242359526E-3</v>
      </c>
      <c r="C5" s="16">
        <f>('R0025_Gen1_Averages'!C5)*('R0025_Gen1_Liberation'!$C$8/100)</f>
        <v>1.8267783676979758E-3</v>
      </c>
      <c r="D5" s="16">
        <f>'R0025_Gen1_Averages'!D5*('R0025_Gen1_Liberation'!$C$7/100)</f>
        <v>4.2044854971706822E-3</v>
      </c>
      <c r="E5" s="16">
        <f>'R0025_Gen1_Averages'!E5*('R0025_Gen1_Liberation'!$C$7/100)</f>
        <v>4.4172416671277616E-3</v>
      </c>
      <c r="F5" s="16">
        <f>'R0025_Gen1_Averages'!F5*('R0025_Gen1_Liberation'!$C$6/100)</f>
        <v>4.3271055612048217E-3</v>
      </c>
      <c r="G5" s="16">
        <f>'R0025_Gen1_Averages'!G5*('R0025_Gen1_Liberation'!$C$6/100)</f>
        <v>5.3568610062238991E-3</v>
      </c>
      <c r="H5" s="16">
        <f>'R0025_Gen1_Averages'!H5*('R0025_Gen1_Liberation'!$C$5/100)</f>
        <v>9.6925794450515593E-2</v>
      </c>
      <c r="I5" s="16">
        <f>'R0025_Gen1_Averages'!I5*('R0025_Gen1_Liberation'!$C$5/100)</f>
        <v>5.0003804495878962E-2</v>
      </c>
      <c r="J5" s="16">
        <f>'R0025_Gen1_Averages'!J5*('R0025_Gen1_Liberation'!$C$4/100)</f>
        <v>2.459560583673568E-2</v>
      </c>
      <c r="K5" s="16">
        <f>'R0025_Gen1_Averages'!K5*('R0025_Gen1_Liberation'!$C$4/100)</f>
        <v>4.2600838952163829E-2</v>
      </c>
      <c r="L5" s="16">
        <f>'R0025_Gen1_Averages'!L5*('R0025_Gen1_Liberation'!$C$3/100)</f>
        <v>0</v>
      </c>
      <c r="M5" s="16">
        <f>'R0025_Gen1_Averages'!M5*('R0025_Gen1_Liberation'!$C$3/100)</f>
        <v>0</v>
      </c>
      <c r="O5" s="16">
        <f>B5+D5+F5+H5+J5+L5</f>
        <v>0.13539976676986273</v>
      </c>
      <c r="R5" s="16">
        <f>SQRT(SUMSQ(C4,E4,G4,I4,K4,M4))</f>
        <v>0.26776169550639645</v>
      </c>
    </row>
    <row r="6" spans="1:18" x14ac:dyDescent="0.25">
      <c r="A6" t="s">
        <v>6</v>
      </c>
      <c r="B6" s="16">
        <f>'R0025_Gen1_Averages'!B6*('R0025_Gen1_Liberation'!$C$8/100)</f>
        <v>3.4181999990050942E-2</v>
      </c>
      <c r="C6" s="16">
        <f>('R0025_Gen1_Averages'!C6)*('R0025_Gen1_Liberation'!$C$8/100)</f>
        <v>2.3588613814623939E-2</v>
      </c>
      <c r="D6" s="16">
        <f>'R0025_Gen1_Averages'!D6*('R0025_Gen1_Liberation'!$C$7/100)</f>
        <v>4.3148587231050216E-3</v>
      </c>
      <c r="E6" s="16">
        <f>'R0025_Gen1_Averages'!E6*('R0025_Gen1_Liberation'!$C$7/100)</f>
        <v>6.2862796281021992E-3</v>
      </c>
      <c r="F6" s="16">
        <f>'R0025_Gen1_Averages'!F6*('R0025_Gen1_Liberation'!$C$6/100)</f>
        <v>1.0933423303767938E-3</v>
      </c>
      <c r="G6" s="16">
        <f>'R0025_Gen1_Averages'!G6*('R0025_Gen1_Liberation'!$C$6/100)</f>
        <v>1.8937244662783639E-3</v>
      </c>
      <c r="H6" s="16">
        <f>'R0025_Gen1_Averages'!H6*('R0025_Gen1_Liberation'!$C$5/100)</f>
        <v>9.2095126890883006E-2</v>
      </c>
      <c r="I6" s="16">
        <f>'R0025_Gen1_Averages'!I6*('R0025_Gen1_Liberation'!$C$5/100)</f>
        <v>3.6205788485548097E-2</v>
      </c>
      <c r="J6" s="16">
        <f>'R0025_Gen1_Averages'!J6*('R0025_Gen1_Liberation'!$C$4/100)</f>
        <v>3.8255872424655057E-2</v>
      </c>
      <c r="K6" s="16">
        <f>'R0025_Gen1_Averages'!K6*('R0025_Gen1_Liberation'!$C$4/100)</f>
        <v>3.8558943825331135E-2</v>
      </c>
      <c r="L6" s="16">
        <f>'R0025_Gen1_Averages'!L6*('R0025_Gen1_Liberation'!$C$3/100)</f>
        <v>4.1256554406033617E-3</v>
      </c>
      <c r="M6" s="16">
        <f>'R0025_Gen1_Averages'!M6*('R0025_Gen1_Liberation'!$C$3/100)</f>
        <v>7.145844837647985E-3</v>
      </c>
      <c r="O6" s="16">
        <f t="shared" ref="O6:O9" si="0">B6+D6+F6+H6+J6+L6</f>
        <v>0.17406685579967418</v>
      </c>
      <c r="R6" s="16">
        <f>SQRT(SUMSQ(C5,E5,G5,I5,K5,M5))</f>
        <v>6.6081442527238951E-2</v>
      </c>
    </row>
    <row r="7" spans="1:18" x14ac:dyDescent="0.25">
      <c r="A7" t="s">
        <v>14</v>
      </c>
      <c r="B7" s="16">
        <f>'R0025_Gen1_Averages'!B7*('R0025_Gen1_Liberation'!$C$8/100)</f>
        <v>3.1866793786964839E-3</v>
      </c>
      <c r="C7" s="16">
        <f>('R0025_Gen1_Averages'!C7)*('R0025_Gen1_Liberation'!$C$8/100)</f>
        <v>1.6058534939066048E-3</v>
      </c>
      <c r="D7" s="16">
        <f>'R0025_Gen1_Averages'!D7*('R0025_Gen1_Liberation'!$C$7/100)</f>
        <v>7.6070986874016778E-3</v>
      </c>
      <c r="E7" s="16">
        <f>'R0025_Gen1_Averages'!E7*('R0025_Gen1_Liberation'!$C$7/100)</f>
        <v>8.0792009203248614E-3</v>
      </c>
      <c r="F7" s="16">
        <f>'R0025_Gen1_Averages'!F7*('R0025_Gen1_Liberation'!$C$6/100)</f>
        <v>0</v>
      </c>
      <c r="G7" s="16">
        <f>'R0025_Gen1_Averages'!G7*('R0025_Gen1_Liberation'!$C$6/100)</f>
        <v>0</v>
      </c>
      <c r="H7" s="16">
        <f>'R0025_Gen1_Averages'!H7*('R0025_Gen1_Liberation'!$C$5/100)</f>
        <v>3.6165821967220936E-2</v>
      </c>
      <c r="I7" s="16">
        <f>'R0025_Gen1_Averages'!I7*('R0025_Gen1_Liberation'!$C$5/100)</f>
        <v>4.2902581440531509E-2</v>
      </c>
      <c r="J7" s="16">
        <f>'R0025_Gen1_Averages'!J7*('R0025_Gen1_Liberation'!$C$4/100)</f>
        <v>7.6071655210887407E-2</v>
      </c>
      <c r="K7" s="16">
        <f>'R0025_Gen1_Averages'!K7*('R0025_Gen1_Liberation'!$C$4/100)</f>
        <v>0.13175997184111873</v>
      </c>
      <c r="L7" s="16">
        <f>'R0025_Gen1_Averages'!L7*('R0025_Gen1_Liberation'!$C$3/100)</f>
        <v>6.4993958905171761E-2</v>
      </c>
      <c r="M7" s="16">
        <f>'R0025_Gen1_Averages'!M7*('R0025_Gen1_Liberation'!$C$3/100)</f>
        <v>0.10912007814840935</v>
      </c>
      <c r="O7" s="16">
        <f t="shared" si="0"/>
        <v>0.18802521414937828</v>
      </c>
      <c r="R7" s="16">
        <f>SQRT(SUMSQ(C6,E6,G6,I6,K6,M6))</f>
        <v>5.8721721473755949E-2</v>
      </c>
    </row>
    <row r="8" spans="1:18" x14ac:dyDescent="0.25">
      <c r="A8" t="s">
        <v>15</v>
      </c>
      <c r="B8" s="16">
        <f>'R0025_Gen1_Averages'!B8*('R0025_Gen1_Liberation'!$C$8/100)</f>
        <v>2.7146703497760345E-2</v>
      </c>
      <c r="C8" s="16">
        <f>('R0025_Gen1_Averages'!C8)*('R0025_Gen1_Liberation'!$C$8/100)</f>
        <v>5.0209724733944359E-3</v>
      </c>
      <c r="D8" s="16">
        <f>'R0025_Gen1_Averages'!D8*('R0025_Gen1_Liberation'!$C$7/100)</f>
        <v>0.10572396332524078</v>
      </c>
      <c r="E8" s="16">
        <f>'R0025_Gen1_Averages'!E8*('R0025_Gen1_Liberation'!$C$7/100)</f>
        <v>0.16917251687777318</v>
      </c>
      <c r="F8" s="16">
        <f>'R0025_Gen1_Averages'!F8*('R0025_Gen1_Liberation'!$C$6/100)</f>
        <v>2.7686680424958985E-3</v>
      </c>
      <c r="G8" s="16">
        <f>'R0025_Gen1_Averages'!G8*('R0025_Gen1_Liberation'!$C$6/100)</f>
        <v>2.8884134127209879E-3</v>
      </c>
      <c r="H8" s="16">
        <f>'R0025_Gen1_Averages'!H8*('R0025_Gen1_Liberation'!$C$5/100)</f>
        <v>9.6117836874178193E-3</v>
      </c>
      <c r="I8" s="16">
        <f>'R0025_Gen1_Averages'!I8*('R0025_Gen1_Liberation'!$C$5/100)</f>
        <v>1.0059812794615538E-2</v>
      </c>
      <c r="J8" s="16">
        <f>'R0025_Gen1_Averages'!J8*('R0025_Gen1_Liberation'!$C$4/100)</f>
        <v>9.4286577513391472E-3</v>
      </c>
      <c r="K8" s="16">
        <f>'R0025_Gen1_Averages'!K8*('R0025_Gen1_Liberation'!$C$4/100)</f>
        <v>1.1271238961215495E-2</v>
      </c>
      <c r="L8" s="16">
        <f>'R0025_Gen1_Averages'!L8*('R0025_Gen1_Liberation'!$C$3/100)</f>
        <v>7.5547052880042846E-3</v>
      </c>
      <c r="M8" s="16">
        <f>'R0025_Gen1_Averages'!M8*('R0025_Gen1_Liberation'!$C$3/100)</f>
        <v>1.3085133395032688E-2</v>
      </c>
      <c r="O8" s="16">
        <f t="shared" si="0"/>
        <v>0.16223448159225828</v>
      </c>
      <c r="R8" s="16">
        <f>SQRT(SUMSQ(C7,E7,G7,I7,K7,M7))</f>
        <v>0.17656830231359102</v>
      </c>
    </row>
    <row r="9" spans="1:18" x14ac:dyDescent="0.25">
      <c r="A9" t="s">
        <v>16</v>
      </c>
      <c r="B9" s="16">
        <f>'R0025_Gen1_Averages'!B9*('R0025_Gen1_Liberation'!$C$8/100)</f>
        <v>0.25116630031679443</v>
      </c>
      <c r="C9" s="16">
        <f>('R0025_Gen1_Averages'!C9)*('R0025_Gen1_Liberation'!$C$8/100)</f>
        <v>2.9557577470420097E-2</v>
      </c>
      <c r="D9" s="16">
        <f>'R0025_Gen1_Averages'!D9*('R0025_Gen1_Liberation'!$C$7/100)</f>
        <v>0.31311253384394427</v>
      </c>
      <c r="E9" s="16">
        <f>'R0025_Gen1_Averages'!E9*('R0025_Gen1_Liberation'!$C$7/100)</f>
        <v>3.4597898946964321E-2</v>
      </c>
      <c r="F9" s="16">
        <f>'R0025_Gen1_Averages'!F9*('R0025_Gen1_Liberation'!$C$6/100)</f>
        <v>0.48985350454865861</v>
      </c>
      <c r="G9" s="16">
        <f>'R0025_Gen1_Averages'!G9*('R0025_Gen1_Liberation'!$C$6/100)</f>
        <v>2.4117621492232361E-2</v>
      </c>
      <c r="H9" s="16">
        <f>'R0025_Gen1_Averages'!H9*('R0025_Gen1_Liberation'!$C$5/100)</f>
        <v>0.51935239284468304</v>
      </c>
      <c r="I9" s="16">
        <f>'R0025_Gen1_Averages'!I9*('R0025_Gen1_Liberation'!$C$5/100)</f>
        <v>6.9763388070665386E-2</v>
      </c>
      <c r="J9" s="16">
        <f>'R0025_Gen1_Averages'!J9*('R0025_Gen1_Liberation'!$C$4/100)</f>
        <v>0.4595838284831098</v>
      </c>
      <c r="K9" s="16">
        <f>'R0025_Gen1_Averages'!K9*('R0025_Gen1_Liberation'!$C$4/100)</f>
        <v>7.0279736638623011E-2</v>
      </c>
      <c r="L9" s="16">
        <f>'R0025_Gen1_Averages'!L9*('R0025_Gen1_Liberation'!$C$3/100)</f>
        <v>0.10738770400085364</v>
      </c>
      <c r="M9" s="16">
        <f>'R0025_Gen1_Averages'!M9*('R0025_Gen1_Liberation'!$C$3/100)</f>
        <v>8.6818134872746183E-3</v>
      </c>
      <c r="O9" s="16">
        <f t="shared" si="0"/>
        <v>2.1404562640380442</v>
      </c>
      <c r="R9" s="16">
        <f>SQRT(SUMSQ(C8,E8,G8,I8,K8,M8))</f>
        <v>0.17044751374112549</v>
      </c>
    </row>
    <row r="10" spans="1:18" s="10" customFormat="1" x14ac:dyDescent="0.25">
      <c r="A10" s="10" t="s">
        <v>20</v>
      </c>
      <c r="B10" s="18">
        <f>'R0025_Gen1_Averages'!B10*('R0025_Gen1_Liberation'!$C$8/100)</f>
        <v>7.1139714216501462</v>
      </c>
      <c r="C10" s="18">
        <f>('R0025_Gen1_Averages'!C10)*('R0025_Gen1_Liberation'!$C$8/100)</f>
        <v>2.9059106590971783E-2</v>
      </c>
      <c r="D10" s="18">
        <f>'R0025_Gen1_Averages'!D10*('R0025_Gen1_Liberation'!$C$7/100)</f>
        <v>7.0918393813274756</v>
      </c>
      <c r="E10" s="18">
        <f>'R0025_Gen1_Averages'!E10*('R0025_Gen1_Liberation'!$C$7/100)</f>
        <v>0.15730749414209425</v>
      </c>
      <c r="F10" s="18">
        <f>'R0025_Gen1_Averages'!F10*('R0025_Gen1_Liberation'!$C$6/100)</f>
        <v>12.979952733515461</v>
      </c>
      <c r="G10" s="18">
        <f>'R0025_Gen1_Averages'!G10*('R0025_Gen1_Liberation'!$C$6/100)</f>
        <v>2.8257636163378855E-2</v>
      </c>
      <c r="H10" s="18">
        <f>'R0025_Gen1_Averages'!H10*('R0025_Gen1_Liberation'!$C$5/100)</f>
        <v>21.821266781266495</v>
      </c>
      <c r="I10" s="18">
        <f>'R0025_Gen1_Averages'!I10*('R0025_Gen1_Liberation'!$C$5/100)</f>
        <v>1.8350574555568523E-2</v>
      </c>
      <c r="J10" s="18">
        <f>'R0025_Gen1_Averages'!J10*('R0025_Gen1_Liberation'!$C$4/100)</f>
        <v>23.358488635296506</v>
      </c>
      <c r="K10" s="18">
        <f>'R0025_Gen1_Averages'!K10*('R0025_Gen1_Liberation'!$C$4/100)</f>
        <v>0.18794077458120398</v>
      </c>
      <c r="L10" s="18">
        <f>'R0025_Gen1_Averages'!L10*('R0025_Gen1_Liberation'!$C$3/100)</f>
        <v>7.5063881276398234</v>
      </c>
      <c r="M10" s="18">
        <f>'R0025_Gen1_Averages'!M10*('R0025_Gen1_Liberation'!$C$3/100)</f>
        <v>9.8230717461934902E-2</v>
      </c>
      <c r="P10" s="10">
        <f>B10+D10+F10+H10+J10+L10</f>
        <v>79.871907080695905</v>
      </c>
    </row>
    <row r="11" spans="1:18" s="11" customFormat="1" x14ac:dyDescent="0.25">
      <c r="A11" s="11" t="s">
        <v>17</v>
      </c>
      <c r="B11" s="17">
        <f>'R0025_Gen1_Averages'!B11*('R0025_Gen1_Liberation'!$C$8/100)</f>
        <v>4.0521322106767945</v>
      </c>
      <c r="C11" s="17">
        <f>('R0025_Gen1_Averages'!C11)*('R0025_Gen1_Liberation'!$C$8/100)</f>
        <v>0.20540002023540432</v>
      </c>
      <c r="D11" s="17">
        <f>'R0025_Gen1_Averages'!D11*('R0025_Gen1_Liberation'!$C$7/100)</f>
        <v>4.3475874745086012</v>
      </c>
      <c r="E11" s="17">
        <f>'R0025_Gen1_Averages'!E11*('R0025_Gen1_Liberation'!$C$7/100)</f>
        <v>5.2769034846517959E-2</v>
      </c>
      <c r="F11" s="17">
        <f>'R0025_Gen1_Averages'!F11*('R0025_Gen1_Liberation'!$C$6/100)</f>
        <v>8.2211586833104029</v>
      </c>
      <c r="G11" s="17">
        <f>'R0025_Gen1_Averages'!G11*('R0025_Gen1_Liberation'!$C$6/100)</f>
        <v>0.27004871200517722</v>
      </c>
      <c r="H11" s="17">
        <f>'R0025_Gen1_Averages'!H11*('R0025_Gen1_Liberation'!$C$5/100)</f>
        <v>13.836564485514421</v>
      </c>
      <c r="I11" s="17">
        <f>'R0025_Gen1_Averages'!I11*('R0025_Gen1_Liberation'!$C$5/100)</f>
        <v>0.52157064586820234</v>
      </c>
      <c r="J11" s="17">
        <f>'R0025_Gen1_Averages'!J11*('R0025_Gen1_Liberation'!$C$4/100)</f>
        <v>13.167032830923256</v>
      </c>
      <c r="K11" s="17">
        <f>'R0025_Gen1_Averages'!K11*('R0025_Gen1_Liberation'!$C$4/100)</f>
        <v>0.73710830612318667</v>
      </c>
      <c r="L11" s="17">
        <f>'R0025_Gen1_Averages'!L11*('R0025_Gen1_Liberation'!$C$3/100)</f>
        <v>2.3722052673720544</v>
      </c>
      <c r="M11" s="17">
        <f>'R0025_Gen1_Averages'!M11*('R0025_Gen1_Liberation'!$C$3/100)</f>
        <v>0.54924448670868453</v>
      </c>
      <c r="P11" s="11">
        <f>B11+D11+F11+H11+J11+L11</f>
        <v>45.996680952305525</v>
      </c>
    </row>
    <row r="12" spans="1:18" x14ac:dyDescent="0.25">
      <c r="A12" t="s">
        <v>8</v>
      </c>
      <c r="B12" s="16">
        <f>'R0025_Gen1_Averages'!B12*('R0025_Gen1_Liberation'!$C$8/100)</f>
        <v>3.8058282807211432</v>
      </c>
      <c r="C12" s="16">
        <f>('R0025_Gen1_Averages'!C12)*('R0025_Gen1_Liberation'!$C$8/100)</f>
        <v>8.1023378669432405E-2</v>
      </c>
      <c r="D12" s="16">
        <f>'R0025_Gen1_Averages'!D12*('R0025_Gen1_Liberation'!$C$7/100)</f>
        <v>4.0525459545893368</v>
      </c>
      <c r="E12" s="16">
        <f>'R0025_Gen1_Averages'!E12*('R0025_Gen1_Liberation'!$C$7/100)</f>
        <v>6.8247936068133994E-2</v>
      </c>
      <c r="F12" s="16">
        <f>'R0025_Gen1_Averages'!F12*('R0025_Gen1_Liberation'!$C$6/100)</f>
        <v>7.3704033207908175</v>
      </c>
      <c r="G12" s="16">
        <f>'R0025_Gen1_Averages'!G12*('R0025_Gen1_Liberation'!$C$6/100)</f>
        <v>0.16722455015063029</v>
      </c>
      <c r="H12" s="16">
        <f>'R0025_Gen1_Averages'!H12*('R0025_Gen1_Liberation'!$C$5/100)</f>
        <v>11.256280897526628</v>
      </c>
      <c r="I12" s="16">
        <f>'R0025_Gen1_Averages'!I12*('R0025_Gen1_Liberation'!$C$5/100)</f>
        <v>0.65993730490069924</v>
      </c>
      <c r="J12" s="16">
        <f>'R0025_Gen1_Averages'!J12*('R0025_Gen1_Liberation'!$C$4/100)</f>
        <v>9.2900716530513261</v>
      </c>
      <c r="K12" s="16">
        <f>'R0025_Gen1_Averages'!K12*('R0025_Gen1_Liberation'!$C$4/100)</f>
        <v>0.43633801627448021</v>
      </c>
      <c r="L12" s="16">
        <f>'R0025_Gen1_Averages'!L12*('R0025_Gen1_Liberation'!$C$3/100)</f>
        <v>1.3812596028050648</v>
      </c>
      <c r="M12" s="16">
        <f>'R0025_Gen1_Averages'!M12*('R0025_Gen1_Liberation'!$C$3/100)</f>
        <v>0.24345749782918569</v>
      </c>
      <c r="O12" s="16">
        <f t="shared" ref="O12:O16" si="1">B12+D12+F12+H12+J12+L12</f>
        <v>37.156389709484316</v>
      </c>
      <c r="R12" s="16">
        <f>SQRT(SUMSQ(C11,E11,G11,I11,K11,M11))</f>
        <v>1.1112759090226181</v>
      </c>
    </row>
    <row r="13" spans="1:18" x14ac:dyDescent="0.25">
      <c r="A13" t="s">
        <v>6</v>
      </c>
      <c r="B13" s="16">
        <f>'R0025_Gen1_Averages'!B13*('R0025_Gen1_Liberation'!$C$8/100)</f>
        <v>0.17034108695187755</v>
      </c>
      <c r="C13" s="16">
        <f>('R0025_Gen1_Averages'!C13)*('R0025_Gen1_Liberation'!$C$8/100)</f>
        <v>0.21448487333459934</v>
      </c>
      <c r="D13" s="16">
        <f>'R0025_Gen1_Averages'!D13*('R0025_Gen1_Liberation'!$C$7/100)</f>
        <v>1.7393539331159655E-2</v>
      </c>
      <c r="E13" s="16">
        <f>'R0025_Gen1_Averages'!E13*('R0025_Gen1_Liberation'!$C$7/100)</f>
        <v>4.3436862666922484E-3</v>
      </c>
      <c r="F13" s="16">
        <f>'R0025_Gen1_Averages'!F13*('R0025_Gen1_Liberation'!$C$6/100)</f>
        <v>0.174824808218496</v>
      </c>
      <c r="G13" s="16">
        <f>'R0025_Gen1_Averages'!G13*('R0025_Gen1_Liberation'!$C$6/100)</f>
        <v>9.130436217338439E-2</v>
      </c>
      <c r="H13" s="16">
        <f>'R0025_Gen1_Averages'!H13*('R0025_Gen1_Liberation'!$C$5/100)</f>
        <v>0.23019289531085455</v>
      </c>
      <c r="I13" s="16">
        <f>'R0025_Gen1_Averages'!I13*('R0025_Gen1_Liberation'!$C$5/100)</f>
        <v>0.10777462926197599</v>
      </c>
      <c r="J13" s="16">
        <f>'R0025_Gen1_Averages'!J13*('R0025_Gen1_Liberation'!$C$4/100)</f>
        <v>0.128946192090199</v>
      </c>
      <c r="K13" s="16">
        <f>'R0025_Gen1_Averages'!K13*('R0025_Gen1_Liberation'!$C$4/100)</f>
        <v>6.5101670704995396E-2</v>
      </c>
      <c r="L13" s="16">
        <f>'R0025_Gen1_Averages'!L13*('R0025_Gen1_Liberation'!$C$3/100)</f>
        <v>5.8318692914214112E-2</v>
      </c>
      <c r="M13" s="16">
        <f>'R0025_Gen1_Averages'!M13*('R0025_Gen1_Liberation'!$C$3/100)</f>
        <v>9.907663290866392E-2</v>
      </c>
      <c r="O13" s="16">
        <f t="shared" si="1"/>
        <v>0.78001721481680086</v>
      </c>
      <c r="R13" s="16">
        <f>SQRT(SUMSQ(C12,E12,G12,I12,K12,M12))</f>
        <v>0.85109710546849238</v>
      </c>
    </row>
    <row r="14" spans="1:18" x14ac:dyDescent="0.25">
      <c r="A14" t="s">
        <v>14</v>
      </c>
      <c r="B14" s="16">
        <f>'R0025_Gen1_Averages'!B14*('R0025_Gen1_Liberation'!$C$8/100)</f>
        <v>4.3194740189624388E-2</v>
      </c>
      <c r="C14" s="16">
        <f>('R0025_Gen1_Averages'!C14)*('R0025_Gen1_Liberation'!$C$8/100)</f>
        <v>1.5742552001460818E-2</v>
      </c>
      <c r="D14" s="16">
        <f>'R0025_Gen1_Averages'!D14*('R0025_Gen1_Liberation'!$C$7/100)</f>
        <v>0.24081941563121209</v>
      </c>
      <c r="E14" s="16">
        <f>'R0025_Gen1_Averages'!E14*('R0025_Gen1_Liberation'!$C$7/100)</f>
        <v>8.3171464945970608E-2</v>
      </c>
      <c r="F14" s="16">
        <f>'R0025_Gen1_Averages'!F14*('R0025_Gen1_Liberation'!$C$6/100)</f>
        <v>0.58884158194213365</v>
      </c>
      <c r="G14" s="16">
        <f>'R0025_Gen1_Averages'!G14*('R0025_Gen1_Liberation'!$C$6/100)</f>
        <v>0.33433875476146574</v>
      </c>
      <c r="H14" s="16">
        <f>'R0025_Gen1_Averages'!H14*('R0025_Gen1_Liberation'!$C$5/100)</f>
        <v>2.1245735789167188</v>
      </c>
      <c r="I14" s="16">
        <f>'R0025_Gen1_Averages'!I14*('R0025_Gen1_Liberation'!$C$5/100)</f>
        <v>0.26896052291863543</v>
      </c>
      <c r="J14" s="16">
        <f>'R0025_Gen1_Averages'!J14*('R0025_Gen1_Liberation'!$C$4/100)</f>
        <v>3.7028499770521655</v>
      </c>
      <c r="K14" s="16">
        <f>'R0025_Gen1_Averages'!K14*('R0025_Gen1_Liberation'!$C$4/100)</f>
        <v>0.26913239622481716</v>
      </c>
      <c r="L14" s="16">
        <f>'R0025_Gen1_Averages'!L14*('R0025_Gen1_Liberation'!$C$3/100)</f>
        <v>0.88869973175313577</v>
      </c>
      <c r="M14" s="16">
        <f>'R0025_Gen1_Averages'!M14*('R0025_Gen1_Liberation'!$C$3/100)</f>
        <v>0.4604274579889705</v>
      </c>
      <c r="O14" s="16">
        <f t="shared" si="1"/>
        <v>7.5889790254849903</v>
      </c>
      <c r="R14" s="16">
        <f>SQRT(SUMSQ(C13,E13,G13,I13,K13,M13))</f>
        <v>0.28289378303753393</v>
      </c>
    </row>
    <row r="15" spans="1:18" x14ac:dyDescent="0.25">
      <c r="A15" t="s">
        <v>15</v>
      </c>
      <c r="B15" s="16">
        <f>'R0025_Gen1_Averages'!B15*('R0025_Gen1_Liberation'!$C$8/100)</f>
        <v>2.5142539504572299E-2</v>
      </c>
      <c r="C15" s="16">
        <f>('R0025_Gen1_Averages'!C15)*('R0025_Gen1_Liberation'!$C$8/100)</f>
        <v>1.8628092532188258E-2</v>
      </c>
      <c r="D15" s="16">
        <f>'R0025_Gen1_Averages'!D15*('R0025_Gen1_Liberation'!$C$7/100)</f>
        <v>3.4158932286945748E-2</v>
      </c>
      <c r="E15" s="16">
        <f>'R0025_Gen1_Averages'!E15*('R0025_Gen1_Liberation'!$C$7/100)</f>
        <v>2.1932080769632566E-2</v>
      </c>
      <c r="F15" s="16">
        <f>'R0025_Gen1_Averages'!F15*('R0025_Gen1_Liberation'!$C$6/100)</f>
        <v>8.0616629693496811E-2</v>
      </c>
      <c r="G15" s="16">
        <f>'R0025_Gen1_Averages'!G15*('R0025_Gen1_Liberation'!$C$6/100)</f>
        <v>4.170956376995915E-2</v>
      </c>
      <c r="H15" s="16">
        <f>'R0025_Gen1_Averages'!H15*('R0025_Gen1_Liberation'!$C$5/100)</f>
        <v>0.22066204660133568</v>
      </c>
      <c r="I15" s="16">
        <f>'R0025_Gen1_Averages'!I15*('R0025_Gen1_Liberation'!$C$5/100)</f>
        <v>0.16415502018039452</v>
      </c>
      <c r="J15" s="16">
        <f>'R0025_Gen1_Averages'!J15*('R0025_Gen1_Liberation'!$C$4/100)</f>
        <v>3.879145256369089E-2</v>
      </c>
      <c r="K15" s="16">
        <f>'R0025_Gen1_Averages'!K15*('R0025_Gen1_Liberation'!$C$4/100)</f>
        <v>4.0803510092160884E-2</v>
      </c>
      <c r="L15" s="16">
        <f>'R0025_Gen1_Averages'!L15*('R0025_Gen1_Liberation'!$C$3/100)</f>
        <v>4.3927239899639953E-2</v>
      </c>
      <c r="M15" s="16">
        <f>'R0025_Gen1_Averages'!M15*('R0025_Gen1_Liberation'!$C$3/100)</f>
        <v>3.0128696721801112E-2</v>
      </c>
      <c r="O15" s="16">
        <f t="shared" si="1"/>
        <v>0.44329884054968138</v>
      </c>
      <c r="R15" s="16">
        <f>SQRT(SUMSQ(C14,E14,G14,I14,K14,M14))</f>
        <v>0.68971963660373481</v>
      </c>
    </row>
    <row r="16" spans="1:18" x14ac:dyDescent="0.25">
      <c r="A16" t="s">
        <v>16</v>
      </c>
      <c r="B16" s="16">
        <f>'R0025_Gen1_Averages'!B16*('R0025_Gen1_Liberation'!$C$8/100)</f>
        <v>7.1307283734518973E-3</v>
      </c>
      <c r="C16" s="16">
        <f>('R0025_Gen1_Averages'!C16)*('R0025_Gen1_Liberation'!$C$8/100)</f>
        <v>4.3510855085818001E-3</v>
      </c>
      <c r="D16" s="16">
        <f>'R0025_Gen1_Averages'!D16*('R0025_Gen1_Liberation'!$C$7/100)</f>
        <v>2.6696326699473323E-3</v>
      </c>
      <c r="E16" s="16">
        <f>'R0025_Gen1_Averages'!E16*('R0025_Gen1_Liberation'!$C$7/100)</f>
        <v>1.67628343883448E-3</v>
      </c>
      <c r="F16" s="16">
        <f>'R0025_Gen1_Averages'!F16*('R0025_Gen1_Liberation'!$C$6/100)</f>
        <v>6.4723426654593593E-3</v>
      </c>
      <c r="G16" s="16">
        <f>'R0025_Gen1_Averages'!G16*('R0025_Gen1_Liberation'!$C$6/100)</f>
        <v>4.338564343896594E-3</v>
      </c>
      <c r="H16" s="16">
        <f>'R0025_Gen1_Averages'!H16*('R0025_Gen1_Liberation'!$C$5/100)</f>
        <v>4.8550671588825133E-3</v>
      </c>
      <c r="I16" s="16">
        <f>'R0025_Gen1_Averages'!I16*('R0025_Gen1_Liberation'!$C$5/100)</f>
        <v>6.5092082325804218E-3</v>
      </c>
      <c r="J16" s="16">
        <f>'R0025_Gen1_Averages'!J16*('R0025_Gen1_Liberation'!$C$4/100)</f>
        <v>6.3735561658745717E-3</v>
      </c>
      <c r="K16" s="16">
        <f>'R0025_Gen1_Averages'!K16*('R0025_Gen1_Liberation'!$C$4/100)</f>
        <v>4.4945052800104439E-3</v>
      </c>
      <c r="L16" s="16">
        <f>'R0025_Gen1_Averages'!L16*('R0025_Gen1_Liberation'!$C$3/100)</f>
        <v>0</v>
      </c>
      <c r="M16" s="16">
        <f>'R0025_Gen1_Averages'!M16*('R0025_Gen1_Liberation'!$C$3/100)</f>
        <v>0</v>
      </c>
      <c r="O16" s="16">
        <f t="shared" si="1"/>
        <v>2.7501327033615672E-2</v>
      </c>
      <c r="R16" s="16">
        <f>SQRT(SUMSQ(C15,E15,G15,I15,K15,M15))</f>
        <v>0.17912912984932078</v>
      </c>
    </row>
    <row r="17" spans="1:20" s="20" customFormat="1" x14ac:dyDescent="0.25">
      <c r="A17" s="20" t="s">
        <v>18</v>
      </c>
      <c r="B17" s="19">
        <f>'R0025_Gen1_Averages'!B17*('R0025_Gen1_Liberation'!$C$8/100)</f>
        <v>3.061839210973353</v>
      </c>
      <c r="C17" s="19">
        <f>('R0025_Gen1_Averages'!C17)*('R0025_Gen1_Liberation'!$C$8/100)</f>
        <v>0.20649710176637479</v>
      </c>
      <c r="D17" s="19">
        <f>'R0025_Gen1_Averages'!D17*('R0025_Gen1_Liberation'!$C$7/100)</f>
        <v>2.7442519068188744</v>
      </c>
      <c r="E17" s="19">
        <f>'R0025_Gen1_Averages'!E17*('R0025_Gen1_Liberation'!$C$7/100)</f>
        <v>0.11857293508557712</v>
      </c>
      <c r="F17" s="19">
        <f>'R0025_Gen1_Averages'!F17*('R0025_Gen1_Liberation'!$C$6/100)</f>
        <v>4.7587940502050561</v>
      </c>
      <c r="G17" s="19">
        <f>'R0025_Gen1_Averages'!G17*('R0025_Gen1_Liberation'!$C$6/100)</f>
        <v>0.25613910114042521</v>
      </c>
      <c r="H17" s="19">
        <f>'R0025_Gen1_Averages'!H17*('R0025_Gen1_Liberation'!$C$5/100)</f>
        <v>7.984702295752073</v>
      </c>
      <c r="I17" s="19">
        <f>'R0025_Gen1_Averages'!I17*('R0025_Gen1_Liberation'!$C$5/100)</f>
        <v>0.52392603392365011</v>
      </c>
      <c r="J17" s="19">
        <f>'R0025_Gen1_Averages'!J17*('R0025_Gen1_Liberation'!$C$4/100)</f>
        <v>10.191455804373247</v>
      </c>
      <c r="K17" s="19">
        <f>'R0025_Gen1_Averages'!K17*('R0025_Gen1_Liberation'!$C$4/100)</f>
        <v>0.88585248216529233</v>
      </c>
      <c r="L17" s="19">
        <f>'R0025_Gen1_Averages'!L17*('R0025_Gen1_Liberation'!$C$3/100)</f>
        <v>5.134182860267769</v>
      </c>
      <c r="M17" s="19">
        <f>'R0025_Gen1_Averages'!M17*('R0025_Gen1_Liberation'!$C$3/100)</f>
        <v>0.50626105084632034</v>
      </c>
      <c r="P17" s="20">
        <f>B17+D17+F17+H17+J17+L17</f>
        <v>33.875226128390374</v>
      </c>
    </row>
    <row r="18" spans="1:20" x14ac:dyDescent="0.25">
      <c r="A18" t="s">
        <v>8</v>
      </c>
      <c r="B18" s="16">
        <f>'R0025_Gen1_Averages'!B18*('R0025_Gen1_Liberation'!$C$8/100)</f>
        <v>1.8495914844986562E-2</v>
      </c>
      <c r="C18" s="16">
        <f>('R0025_Gen1_Averages'!C18)*('R0025_Gen1_Liberation'!$C$8/100)</f>
        <v>7.4992995859907716E-3</v>
      </c>
      <c r="D18" s="16">
        <f>'R0025_Gen1_Averages'!D18*('R0025_Gen1_Liberation'!$C$7/100)</f>
        <v>2.029267488033522E-3</v>
      </c>
      <c r="E18" s="16">
        <f>'R0025_Gen1_Averages'!E18*('R0025_Gen1_Liberation'!$C$7/100)</f>
        <v>3.5147943914217291E-3</v>
      </c>
      <c r="F18" s="16">
        <f>'R0025_Gen1_Averages'!F18*('R0025_Gen1_Liberation'!$C$6/100)</f>
        <v>0</v>
      </c>
      <c r="G18" s="16">
        <f>'R0025_Gen1_Averages'!G18*('R0025_Gen1_Liberation'!$C$6/100)</f>
        <v>0</v>
      </c>
      <c r="H18" s="16">
        <f>'R0025_Gen1_Averages'!H18*('R0025_Gen1_Liberation'!$C$5/100)</f>
        <v>2.7393539700565794E-2</v>
      </c>
      <c r="I18" s="16">
        <f>'R0025_Gen1_Averages'!I18*('R0025_Gen1_Liberation'!$C$5/100)</f>
        <v>2.4031196011688565E-2</v>
      </c>
      <c r="J18" s="16">
        <f>'R0025_Gen1_Averages'!J18*('R0025_Gen1_Liberation'!$C$4/100)</f>
        <v>0.14328643079954406</v>
      </c>
      <c r="K18" s="16">
        <f>'R0025_Gen1_Averages'!K18*('R0025_Gen1_Liberation'!$C$4/100)</f>
        <v>0.1851328568372127</v>
      </c>
      <c r="L18" s="16">
        <f>'R0025_Gen1_Averages'!L18*('R0025_Gen1_Liberation'!$C$3/100)</f>
        <v>3.8626089183803447E-2</v>
      </c>
      <c r="M18" s="16">
        <f>'R0025_Gen1_Averages'!M18*('R0025_Gen1_Liberation'!$C$3/100)</f>
        <v>4.0103802842819489E-2</v>
      </c>
      <c r="O18" s="16">
        <f t="shared" ref="O18:O22" si="2">B18+D18+F18+H18+J18+L18</f>
        <v>0.22983124201693339</v>
      </c>
      <c r="R18" s="16">
        <f>SQRT(SUMSQ(C17,E17,G17,I17,K17,M17))</f>
        <v>1.1991001600746878</v>
      </c>
    </row>
    <row r="19" spans="1:20" x14ac:dyDescent="0.25">
      <c r="A19" t="s">
        <v>6</v>
      </c>
      <c r="B19" s="16">
        <f>'R0025_Gen1_Averages'!B19*('R0025_Gen1_Liberation'!$C$8/100)</f>
        <v>2.9485204110725522</v>
      </c>
      <c r="C19" s="16">
        <f>('R0025_Gen1_Averages'!C19)*('R0025_Gen1_Liberation'!$C$8/100)</f>
        <v>0.19114491302531486</v>
      </c>
      <c r="D19" s="16">
        <f>'R0025_Gen1_Averages'!D19*('R0025_Gen1_Liberation'!$C$7/100)</f>
        <v>2.5194601816202296</v>
      </c>
      <c r="E19" s="16">
        <f>'R0025_Gen1_Averages'!E19*('R0025_Gen1_Liberation'!$C$7/100)</f>
        <v>8.0810877031483083E-2</v>
      </c>
      <c r="F19" s="16">
        <f>'R0025_Gen1_Averages'!F19*('R0025_Gen1_Liberation'!$C$6/100)</f>
        <v>4.0797074290847322</v>
      </c>
      <c r="G19" s="16">
        <f>'R0025_Gen1_Averages'!G19*('R0025_Gen1_Liberation'!$C$6/100)</f>
        <v>0.22836243616204799</v>
      </c>
      <c r="H19" s="16">
        <f>'R0025_Gen1_Averages'!H19*('R0025_Gen1_Liberation'!$C$5/100)</f>
        <v>6.3136536907597494</v>
      </c>
      <c r="I19" s="16">
        <f>'R0025_Gen1_Averages'!I19*('R0025_Gen1_Liberation'!$C$5/100)</f>
        <v>0.49153508908029764</v>
      </c>
      <c r="J19" s="16">
        <f>'R0025_Gen1_Averages'!J19*('R0025_Gen1_Liberation'!$C$4/100)</f>
        <v>5.1272998147658431</v>
      </c>
      <c r="K19" s="16">
        <f>'R0025_Gen1_Averages'!K19*('R0025_Gen1_Liberation'!$C$4/100)</f>
        <v>0.4788853944292647</v>
      </c>
      <c r="L19" s="16">
        <f>'R0025_Gen1_Averages'!L19*('R0025_Gen1_Liberation'!$C$3/100)</f>
        <v>0.82100203009761052</v>
      </c>
      <c r="M19" s="16">
        <f>'R0025_Gen1_Averages'!M19*('R0025_Gen1_Liberation'!$C$3/100)</f>
        <v>5.4607744308220615E-2</v>
      </c>
      <c r="O19" s="16">
        <f t="shared" si="2"/>
        <v>21.809643557400719</v>
      </c>
      <c r="R19" s="16">
        <f>SQRT(SUMSQ(C18,E18,G18,I18,K18,M18))</f>
        <v>0.19112451789032781</v>
      </c>
    </row>
    <row r="20" spans="1:20" x14ac:dyDescent="0.25">
      <c r="A20" t="s">
        <v>14</v>
      </c>
      <c r="B20" s="16">
        <f>'R0025_Gen1_Averages'!B20*('R0025_Gen1_Liberation'!$C$8/100)</f>
        <v>1.6341842295431758E-2</v>
      </c>
      <c r="C20" s="16">
        <f>('R0025_Gen1_Averages'!C20)*('R0025_Gen1_Liberation'!$C$8/100)</f>
        <v>5.0172693334080577E-3</v>
      </c>
      <c r="D20" s="16">
        <f>'R0025_Gen1_Averages'!D20*('R0025_Gen1_Liberation'!$C$7/100)</f>
        <v>7.1976323912249951E-2</v>
      </c>
      <c r="E20" s="16">
        <f>'R0025_Gen1_Averages'!E20*('R0025_Gen1_Liberation'!$C$7/100)</f>
        <v>3.1295776426927768E-2</v>
      </c>
      <c r="F20" s="16">
        <f>'R0025_Gen1_Averages'!F20*('R0025_Gen1_Liberation'!$C$6/100)</f>
        <v>0.18831904345225137</v>
      </c>
      <c r="G20" s="16">
        <f>'R0025_Gen1_Averages'!G20*('R0025_Gen1_Liberation'!$C$6/100)</f>
        <v>3.4794468231460159E-2</v>
      </c>
      <c r="H20" s="16">
        <f>'R0025_Gen1_Averages'!H20*('R0025_Gen1_Liberation'!$C$5/100)</f>
        <v>0.7278940465017667</v>
      </c>
      <c r="I20" s="16">
        <f>'R0025_Gen1_Averages'!I20*('R0025_Gen1_Liberation'!$C$5/100)</f>
        <v>0.19022873466463272</v>
      </c>
      <c r="J20" s="16">
        <f>'R0025_Gen1_Averages'!J20*('R0025_Gen1_Liberation'!$C$4/100)</f>
        <v>3.6846377259960041</v>
      </c>
      <c r="K20" s="16">
        <f>'R0025_Gen1_Averages'!K20*('R0025_Gen1_Liberation'!$C$4/100)</f>
        <v>0.80480209306637285</v>
      </c>
      <c r="L20" s="16">
        <f>'R0025_Gen1_Averages'!L20*('R0025_Gen1_Liberation'!$C$3/100)</f>
        <v>3.2699738370015572</v>
      </c>
      <c r="M20" s="16">
        <f>'R0025_Gen1_Averages'!M20*('R0025_Gen1_Liberation'!$C$3/100)</f>
        <v>0.51098699290230964</v>
      </c>
      <c r="O20" s="16">
        <f t="shared" si="2"/>
        <v>7.9591428191592613</v>
      </c>
      <c r="R20" s="16">
        <f>SQRT(SUMSQ(C19,E19,G19,I19,K19,M19))</f>
        <v>0.75441112690972334</v>
      </c>
    </row>
    <row r="21" spans="1:20" x14ac:dyDescent="0.25">
      <c r="A21" t="s">
        <v>15</v>
      </c>
      <c r="B21" s="16">
        <f>'R0025_Gen1_Averages'!B21*('R0025_Gen1_Liberation'!$C$8/100)</f>
        <v>6.5183664329811666E-2</v>
      </c>
      <c r="C21" s="16">
        <f>('R0025_Gen1_Averages'!C21)*('R0025_Gen1_Liberation'!$C$8/100)</f>
        <v>8.7200127841379517E-3</v>
      </c>
      <c r="D21" s="16">
        <f>'R0025_Gen1_Averages'!D21*('R0025_Gen1_Liberation'!$C$7/100)</f>
        <v>0.13170919333515654</v>
      </c>
      <c r="E21" s="16">
        <f>'R0025_Gen1_Averages'!E21*('R0025_Gen1_Liberation'!$C$7/100)</f>
        <v>2.4853123636787152E-2</v>
      </c>
      <c r="F21" s="16">
        <f>'R0025_Gen1_Averages'!F21*('R0025_Gen1_Liberation'!$C$6/100)</f>
        <v>0.43998936332938188</v>
      </c>
      <c r="G21" s="16">
        <f>'R0025_Gen1_Averages'!G21*('R0025_Gen1_Liberation'!$C$6/100)</f>
        <v>2.4005291024998564E-2</v>
      </c>
      <c r="H21" s="16">
        <f>'R0025_Gen1_Averages'!H21*('R0025_Gen1_Liberation'!$C$5/100)</f>
        <v>0.85141320939652887</v>
      </c>
      <c r="I21" s="16">
        <f>'R0025_Gen1_Averages'!I21*('R0025_Gen1_Liberation'!$C$5/100)</f>
        <v>0.3391792075563016</v>
      </c>
      <c r="J21" s="16">
        <f>'R0025_Gen1_Averages'!J21*('R0025_Gen1_Liberation'!$C$4/100)</f>
        <v>1.2037974839902164</v>
      </c>
      <c r="K21" s="16">
        <f>'R0025_Gen1_Averages'!K21*('R0025_Gen1_Liberation'!$C$4/100)</f>
        <v>0.22579202301825393</v>
      </c>
      <c r="L21" s="16">
        <f>'R0025_Gen1_Averages'!L21*('R0025_Gen1_Liberation'!$C$3/100)</f>
        <v>0.99569222686973324</v>
      </c>
      <c r="M21" s="16">
        <f>'R0025_Gen1_Averages'!M21*('R0025_Gen1_Liberation'!$C$3/100)</f>
        <v>7.9569655061097144E-2</v>
      </c>
      <c r="O21" s="16">
        <f t="shared" si="2"/>
        <v>3.6877851412508282</v>
      </c>
      <c r="R21" s="16">
        <f>SQRT(SUMSQ(C20,E20,G20,I20,K20,M20))</f>
        <v>0.97325039997151053</v>
      </c>
    </row>
    <row r="22" spans="1:20" x14ac:dyDescent="0.25">
      <c r="A22" t="s">
        <v>16</v>
      </c>
      <c r="B22" s="16">
        <f>'R0025_Gen1_Averages'!B22*('R0025_Gen1_Liberation'!$C$8/100)</f>
        <v>1.3297378430570529E-2</v>
      </c>
      <c r="C22" s="16">
        <f>('R0025_Gen1_Averages'!C22)*('R0025_Gen1_Liberation'!$C$8/100)</f>
        <v>5.3400740909070972E-3</v>
      </c>
      <c r="D22" s="16">
        <f>'R0025_Gen1_Averages'!D22*('R0025_Gen1_Liberation'!$C$7/100)</f>
        <v>1.9076940463205003E-2</v>
      </c>
      <c r="E22" s="16">
        <f>'R0025_Gen1_Averages'!E22*('R0025_Gen1_Liberation'!$C$7/100)</f>
        <v>4.7487443838980245E-3</v>
      </c>
      <c r="F22" s="16">
        <f>'R0025_Gen1_Averages'!F22*('R0025_Gen1_Liberation'!$C$6/100)</f>
        <v>5.0778214338690522E-2</v>
      </c>
      <c r="G22" s="16">
        <f>'R0025_Gen1_Averages'!G22*('R0025_Gen1_Liberation'!$C$6/100)</f>
        <v>1.1783915755073326E-2</v>
      </c>
      <c r="H22" s="16">
        <f>'R0025_Gen1_Averages'!H22*('R0025_Gen1_Liberation'!$C$5/100)</f>
        <v>6.4347809393463129E-2</v>
      </c>
      <c r="I22" s="16">
        <f>'R0025_Gen1_Averages'!I22*('R0025_Gen1_Liberation'!$C$5/100)</f>
        <v>1.3208237156901332E-2</v>
      </c>
      <c r="J22" s="16">
        <f>'R0025_Gen1_Averages'!J22*('R0025_Gen1_Liberation'!$C$4/100)</f>
        <v>3.2434348821639231E-2</v>
      </c>
      <c r="K22" s="16">
        <f>'R0025_Gen1_Averages'!K22*('R0025_Gen1_Liberation'!$C$4/100)</f>
        <v>1.5131443200138785E-2</v>
      </c>
      <c r="L22" s="16">
        <f>'R0025_Gen1_Averages'!L22*('R0025_Gen1_Liberation'!$C$3/100)</f>
        <v>8.8886771150643688E-3</v>
      </c>
      <c r="M22" s="16">
        <f>'R0025_Gen1_Averages'!M22*('R0025_Gen1_Liberation'!$C$3/100)</f>
        <v>1.4045139409140811E-2</v>
      </c>
      <c r="O22" s="16">
        <f t="shared" si="2"/>
        <v>0.18882336856263277</v>
      </c>
      <c r="R22" s="16">
        <f>SQRT(SUMSQ(C21,E21,G21,I21,K21,M21))</f>
        <v>0.41668438041087436</v>
      </c>
    </row>
    <row r="23" spans="1:20" ht="15.75" thickBot="1" x14ac:dyDescent="0.3">
      <c r="P23" t="s">
        <v>216</v>
      </c>
      <c r="S23" t="s">
        <v>216</v>
      </c>
    </row>
    <row r="24" spans="1:20" ht="15.75" thickBot="1" x14ac:dyDescent="0.3">
      <c r="B24" s="16"/>
      <c r="N24" t="s">
        <v>56</v>
      </c>
      <c r="O24" s="33">
        <f>O5+O6+O8+O9+O12+O13+O15+O16+O18+O19+O21+O22</f>
        <v>66.935447769315374</v>
      </c>
      <c r="P24" t="s">
        <v>56</v>
      </c>
      <c r="Q24">
        <f>O24*$E$34/100</f>
        <v>56.176355021919733</v>
      </c>
    </row>
    <row r="25" spans="1:20" x14ac:dyDescent="0.25">
      <c r="B25" t="s">
        <v>57</v>
      </c>
      <c r="C25" t="s">
        <v>37</v>
      </c>
      <c r="D25" t="s">
        <v>58</v>
      </c>
      <c r="E25" s="16" t="s">
        <v>59</v>
      </c>
      <c r="F25" t="s">
        <v>60</v>
      </c>
      <c r="G25" t="s">
        <v>61</v>
      </c>
      <c r="I25" t="s">
        <v>62</v>
      </c>
      <c r="J25" t="s">
        <v>63</v>
      </c>
      <c r="K25" t="s">
        <v>64</v>
      </c>
      <c r="L25" t="s">
        <v>63</v>
      </c>
    </row>
    <row r="26" spans="1:20" x14ac:dyDescent="0.25">
      <c r="A26" t="str">
        <f>'R0025_Gen1_Liberation'!A18</f>
        <v>Cathode</v>
      </c>
      <c r="B26">
        <f>'R0025_Gen1_Liberation'!D18</f>
        <v>0.48695066509513396</v>
      </c>
      <c r="C26">
        <f>B26*100</f>
        <v>48.695066509513396</v>
      </c>
      <c r="D26">
        <f>'R0025_Gen1_Liberation'!F18*100</f>
        <v>0.24698144445625625</v>
      </c>
      <c r="E26">
        <f>C26</f>
        <v>48.695066509513396</v>
      </c>
      <c r="F26">
        <f>O5+O12+O18</f>
        <v>37.521620718271116</v>
      </c>
      <c r="G26">
        <f>SQRT(SUMSQ(C5,E5,G5,I5,K5,M5,C12,E12,G12,I12,K12,M12,C18,E18,G18,I18,K18,M18))</f>
        <v>0.87479233039741333</v>
      </c>
      <c r="I26">
        <f>E26-F26</f>
        <v>11.17344579124228</v>
      </c>
      <c r="J26">
        <f>SQRT(SUMSQ(D26,G26))</f>
        <v>0.90898924923666502</v>
      </c>
      <c r="K26">
        <f>(E26/$E$34)*100-F26</f>
        <v>20.499695896148957</v>
      </c>
      <c r="L26">
        <f>SQRT((100*SQRT((D26/E26)^2+($E$35/$E$34)^2))^2+G26^2)</f>
        <v>1.0636831393524142</v>
      </c>
      <c r="N26" t="s">
        <v>69</v>
      </c>
      <c r="O26">
        <f>O7+O14+O20</f>
        <v>15.73614705879363</v>
      </c>
      <c r="P26" t="s">
        <v>69</v>
      </c>
      <c r="Q26">
        <f>O26*$E$34/100</f>
        <v>13.206744905905792</v>
      </c>
      <c r="S26" t="s">
        <v>45</v>
      </c>
      <c r="T26">
        <f>F26*$E$34/100</f>
        <v>31.490457697867082</v>
      </c>
    </row>
    <row r="27" spans="1:20" x14ac:dyDescent="0.25">
      <c r="A27" t="str">
        <f>'R0025_Gen1_Liberation'!A19</f>
        <v>Anode</v>
      </c>
      <c r="B27">
        <f>'R0025_Gen1_Liberation'!D19</f>
        <v>0.2823918168041758</v>
      </c>
      <c r="C27">
        <f t="shared" ref="C27:C31" si="3">B27*100</f>
        <v>28.23918168041758</v>
      </c>
      <c r="D27">
        <f>'R0025_Gen1_Liberation'!F19*100</f>
        <v>0.1239849620185929</v>
      </c>
      <c r="E27">
        <f>C27</f>
        <v>28.23918168041758</v>
      </c>
      <c r="F27">
        <f>O6+O13+O19</f>
        <v>22.763727628017193</v>
      </c>
      <c r="G27">
        <f>SQRT(SUMSQ(C6,E6,G6,I6,K6,M6,C13,E13,G13,I13,K13,M13,C19,E19,G19,I19,K19,M19))</f>
        <v>0.80784483749005132</v>
      </c>
      <c r="I27">
        <f>E27-F27</f>
        <v>5.4754540524003872</v>
      </c>
      <c r="J27">
        <f>SQRT(SUMSQ(D27,G27))</f>
        <v>0.81730383106044435</v>
      </c>
      <c r="K27">
        <f>(E27/$E$34)*100-F27</f>
        <v>10.883921274804123</v>
      </c>
      <c r="L27">
        <f>SQRT((100*SQRT((D27/E27)^2+($E$35/$E$34)^2))^2+G27^2)</f>
        <v>0.97687716717221584</v>
      </c>
      <c r="N27" t="s">
        <v>217</v>
      </c>
      <c r="O27" s="16">
        <f>'R0025_Gen1_Liberation'!$C$2</f>
        <v>2.607588469613392</v>
      </c>
      <c r="P27" t="s">
        <v>217</v>
      </c>
      <c r="Q27">
        <f>O27*$E$34/100</f>
        <v>2.1884490281578128</v>
      </c>
      <c r="S27" t="s">
        <v>46</v>
      </c>
      <c r="T27">
        <f>F27*$E$34/100</f>
        <v>19.104723841707056</v>
      </c>
    </row>
    <row r="28" spans="1:20" ht="15.75" thickBot="1" x14ac:dyDescent="0.3">
      <c r="A28" t="str">
        <f>'R0025_Gen1_Liberation'!A20</f>
        <v>Pouch</v>
      </c>
      <c r="B28">
        <f>'R0025_Gen1_Liberation'!D20</f>
        <v>4.6703990570803169E-2</v>
      </c>
      <c r="C28">
        <f t="shared" si="3"/>
        <v>4.6703990570803171</v>
      </c>
      <c r="D28">
        <f>'R0025_Gen1_Liberation'!F20*100</f>
        <v>7.9678894277721551E-3</v>
      </c>
      <c r="E28">
        <f>C28</f>
        <v>4.6703990570803171</v>
      </c>
      <c r="F28">
        <f>O8+O15+O21</f>
        <v>4.2933184633927679</v>
      </c>
      <c r="G28">
        <f>SQRT(SUMSQ(C8,E8,G8,I8,K8,M8,C15,E15,G15,I15,K15,M15,C21,E21,G21,I21,K21,M21))</f>
        <v>0.48452602920741028</v>
      </c>
      <c r="I28">
        <f>E28-F28</f>
        <v>0.3770805936875492</v>
      </c>
      <c r="J28">
        <f>SQRT(SUMSQ(D28,G28))</f>
        <v>0.48459153958920226</v>
      </c>
      <c r="K28">
        <f>(E28/$E$34)*100-F28</f>
        <v>1.2715718187388942</v>
      </c>
      <c r="L28">
        <f>SQRT((100*SQRT((D28/E28)^2+($E$35/$E$34)^2))^2+G28^2)</f>
        <v>0.61055665657933733</v>
      </c>
      <c r="N28" t="s">
        <v>218</v>
      </c>
      <c r="O28" s="16">
        <f>SUM('R0025_Gen1_Liberation'!$C$9,'R0025_Gen1_Liberation'!$C$10,'R0025_Gen1_Liberation'!$C$11)</f>
        <v>14.720321867341481</v>
      </c>
      <c r="P28" t="s">
        <v>218</v>
      </c>
      <c r="Q28">
        <f>O28*$E$34/100</f>
        <v>12.35420176924233</v>
      </c>
      <c r="S28" t="s">
        <v>162</v>
      </c>
      <c r="T28">
        <f>F28*$E$34/100</f>
        <v>3.603217581406521</v>
      </c>
    </row>
    <row r="29" spans="1:20" ht="15.75" thickBot="1" x14ac:dyDescent="0.3">
      <c r="A29" t="str">
        <f>'R0025_Gen1_Liberation'!A21</f>
        <v>Separator</v>
      </c>
      <c r="B29">
        <f>'R0025_Gen1_Liberation'!D21</f>
        <v>2.3215187742044119E-2</v>
      </c>
      <c r="C29">
        <f t="shared" si="3"/>
        <v>2.3215187742044119</v>
      </c>
      <c r="D29">
        <f>'R0025_Gen1_Liberation'!F21*100</f>
        <v>1.6583616893898992E-2</v>
      </c>
      <c r="E29">
        <f>C29</f>
        <v>2.3215187742044119</v>
      </c>
      <c r="F29">
        <f>O9+O16+O22</f>
        <v>2.3567809596342926</v>
      </c>
      <c r="G29">
        <f>SQRT(SUMSQ(C9,E9,G9,I9,K9,M9,C16,E16,G16,I16,K16,M16,C22,E22,G22,I22,K22,M22))</f>
        <v>0.11587759622104485</v>
      </c>
      <c r="I29">
        <f>E29-F29</f>
        <v>-3.5262185429880688E-2</v>
      </c>
      <c r="J29">
        <f>SQRT(SUMSQ(D29,G29))</f>
        <v>0.11705824898421777</v>
      </c>
      <c r="K29">
        <f>(E29/$E$34)*100-F29</f>
        <v>0.40936324099266708</v>
      </c>
      <c r="L29">
        <f>SQRT((100*SQRT((D29/E29)^2+($E$35/$E$34)^2))^2+G29^2)</f>
        <v>0.79537561970492365</v>
      </c>
      <c r="N29" t="s">
        <v>72</v>
      </c>
      <c r="O29" s="37">
        <f>SUM(O26:O28)</f>
        <v>33.064057395748506</v>
      </c>
      <c r="P29" t="s">
        <v>72</v>
      </c>
      <c r="Q29">
        <f>O29*$E$34/100</f>
        <v>27.749395703305936</v>
      </c>
      <c r="S29" t="s">
        <v>48</v>
      </c>
      <c r="T29">
        <f>F29*$E$34/100</f>
        <v>1.9779559009390768</v>
      </c>
    </row>
    <row r="30" spans="1:20" x14ac:dyDescent="0.25">
      <c r="A30" t="str">
        <f>'R0025_Gen1_Liberation'!A22</f>
        <v>Electrolyte</v>
      </c>
      <c r="B30">
        <f>'R0025_Gen1_Liberation'!D22</f>
        <v>0.16073833978784308</v>
      </c>
      <c r="C30">
        <f t="shared" si="3"/>
        <v>16.073833978784307</v>
      </c>
      <c r="D30">
        <f>'R0025_Gen1_Liberation'!F22*100</f>
        <v>0.22030342879139783</v>
      </c>
    </row>
    <row r="31" spans="1:20" x14ac:dyDescent="0.25">
      <c r="A31" t="str">
        <f>'R0025_Gen1_Liberation'!A23</f>
        <v>Whole</v>
      </c>
      <c r="B31">
        <f>'R0025_Gen1_Liberation'!D23</f>
        <v>1</v>
      </c>
      <c r="C31">
        <f t="shared" si="3"/>
        <v>100</v>
      </c>
      <c r="D31">
        <f>'R0025_Gen1_Liberation'!F23*100</f>
        <v>3.6697246535954041E-2</v>
      </c>
    </row>
    <row r="33" spans="1:15" ht="15.75" thickBot="1" x14ac:dyDescent="0.3">
      <c r="I33" s="30"/>
    </row>
    <row r="34" spans="1:15" ht="15.75" thickBot="1" x14ac:dyDescent="0.3">
      <c r="A34" t="s">
        <v>35</v>
      </c>
      <c r="E34" s="32">
        <f>SUM(E26:E29)</f>
        <v>83.926166021215693</v>
      </c>
      <c r="F34" s="35">
        <f>SUM(F26:F29)</f>
        <v>66.935447769315374</v>
      </c>
      <c r="I34" s="39">
        <f>SUM(I26:I29)</f>
        <v>16.990718251900333</v>
      </c>
      <c r="K34" s="39">
        <f>SUM(K26:K29)</f>
        <v>33.06455223068464</v>
      </c>
      <c r="N34" t="s">
        <v>73</v>
      </c>
      <c r="O34" s="31">
        <f>O29+O24</f>
        <v>99.99950516506388</v>
      </c>
    </row>
    <row r="35" spans="1:15" x14ac:dyDescent="0.25">
      <c r="A35" s="2" t="s">
        <v>63</v>
      </c>
      <c r="E35">
        <f>SQRT(SUMSQ(D26:D29))</f>
        <v>0.27696680003868246</v>
      </c>
    </row>
    <row r="42" spans="1:15" x14ac:dyDescent="0.25">
      <c r="O42" s="16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5278-1544-40DD-8FA8-27DAA703B07C}">
  <sheetPr codeName="Sheet23">
    <tabColor rgb="FFFF0000"/>
  </sheetPr>
  <dimension ref="A1:W93"/>
  <sheetViews>
    <sheetView workbookViewId="0">
      <selection activeCell="I64" sqref="I64:L78"/>
    </sheetView>
  </sheetViews>
  <sheetFormatPr defaultRowHeight="15" x14ac:dyDescent="0.25"/>
  <cols>
    <col min="1" max="1" width="8.85546875" style="2" customWidth="1"/>
    <col min="2" max="13" width="8.85546875" customWidth="1"/>
  </cols>
  <sheetData>
    <row r="1" spans="1:16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  <c r="O1" s="98" t="s">
        <v>74</v>
      </c>
      <c r="P1" s="98"/>
    </row>
    <row r="2" spans="1:16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s="16" t="s">
        <v>52</v>
      </c>
      <c r="P2" t="s">
        <v>27</v>
      </c>
    </row>
    <row r="3" spans="1:16" s="9" customFormat="1" x14ac:dyDescent="0.25">
      <c r="A3" s="13" t="s">
        <v>19</v>
      </c>
      <c r="B3" s="21">
        <f>('R0025_Gen1_Averages'!B3)*('R0025_Gen1_Liberation'!$H$8/100)</f>
        <v>6.2399103431822542</v>
      </c>
      <c r="C3" s="21">
        <f>('R0025_Gen1_Averages'!C3)*('R0025_Gen1_Liberation'!$H$8/100)</f>
        <v>0</v>
      </c>
      <c r="D3" s="21">
        <f>'R0025_Gen1_Averages'!D3*('R0025_Gen1_Liberation'!$H$7/100)</f>
        <v>6.3169566123505234</v>
      </c>
      <c r="E3" s="21">
        <f>'R0025_Gen1_Averages'!E3*('R0025_Gen1_Liberation'!$H$7/100)</f>
        <v>0</v>
      </c>
      <c r="F3" s="21">
        <f>'R0025_Gen1_Averages'!F3*('R0025_Gen1_Liberation'!$H$6/100)</f>
        <v>11.311564757128266</v>
      </c>
      <c r="G3" s="21">
        <f>'R0025_Gen1_Averages'!G3*('R0025_Gen1_Liberation'!$H$6/100)</f>
        <v>0</v>
      </c>
      <c r="H3" s="21">
        <f>'R0025_Gen1_Averages'!H3*('R0025_Gen1_Liberation'!$H$5/100)</f>
        <v>18.946682539814159</v>
      </c>
      <c r="I3" s="21">
        <f>'R0025_Gen1_Averages'!I3*('R0025_Gen1_Liberation'!$H$5/100)</f>
        <v>0</v>
      </c>
      <c r="J3" s="21">
        <f>'R0025_Gen1_Averages'!J3*('R0025_Gen1_Liberation'!$H$4/100)</f>
        <v>20.114101009602923</v>
      </c>
      <c r="K3" s="21">
        <f>'R0025_Gen1_Averages'!K3*('R0025_Gen1_Liberation'!$H$4/100)</f>
        <v>0</v>
      </c>
      <c r="L3" s="21">
        <f>'R0025_Gen1_Averages'!L3*('R0025_Gen1_Liberation'!$H$3/100)</f>
        <v>6.4542999617374353</v>
      </c>
      <c r="M3" s="21">
        <f>'R0025_Gen1_Averages'!M3*('R0025_Gen1_Liberation'!$H$3/100)</f>
        <v>0</v>
      </c>
      <c r="O3" s="21">
        <f>SUM(B3,D3,F3,H3,J3,L3)</f>
        <v>69.38351522381555</v>
      </c>
      <c r="P3" s="21">
        <f t="shared" ref="O3:P16" si="0">SUM(C3,E3,G3,I3,K3,M3)</f>
        <v>0</v>
      </c>
    </row>
    <row r="4" spans="1:16" s="24" customFormat="1" x14ac:dyDescent="0.25">
      <c r="A4" s="22" t="s">
        <v>12</v>
      </c>
      <c r="B4" s="23">
        <f>'R0025_Gen1_Averages'!B4*('R0025_Gen1_Liberation'!$H$8/100)</f>
        <v>0.26942687714631225</v>
      </c>
      <c r="C4" s="23">
        <f>('R0025_Gen1_Averages'!C4)*('R0025_Gen1_Liberation'!$H$8/100)</f>
        <v>2.4388194041820615E-2</v>
      </c>
      <c r="D4" s="23">
        <f>'R0025_Gen1_Averages'!D4*('R0025_Gen1_Liberation'!$H$7/100)</f>
        <v>0.3650477192196685</v>
      </c>
      <c r="E4" s="23">
        <f>'R0025_Gen1_Averages'!E4*('R0025_Gen1_Liberation'!$H$7/100)</f>
        <v>0.13202214869750822</v>
      </c>
      <c r="F4" s="23">
        <f>'R0025_Gen1_Averages'!F4*('R0025_Gen1_Liberation'!$H$6/100)</f>
        <v>0.41798807652275444</v>
      </c>
      <c r="G4" s="23">
        <f>'R0025_Gen1_Averages'!G4*('R0025_Gen1_Liberation'!$H$6/100)</f>
        <v>2.3715550640147839E-2</v>
      </c>
      <c r="H4" s="23">
        <f>'R0025_Gen1_Averages'!H4*('R0025_Gen1_Liberation'!$H$5/100)</f>
        <v>0.63292995303604838</v>
      </c>
      <c r="I4" s="23">
        <f>'R0025_Gen1_Averages'!I4*('R0025_Gen1_Liberation'!$H$5/100)</f>
        <v>1.5400933667353124E-2</v>
      </c>
      <c r="J4" s="23">
        <f>'R0025_Gen1_Averages'!J4*('R0025_Gen1_Liberation'!$H$4/100)</f>
        <v>0.51021705749717428</v>
      </c>
      <c r="K4" s="23">
        <f>'R0025_Gen1_Averages'!K4*('R0025_Gen1_Liberation'!$H$4/100)</f>
        <v>0.15773148649657798</v>
      </c>
      <c r="L4" s="23">
        <f>'R0025_Gen1_Averages'!L4*('R0025_Gen1_Liberation'!$H$3/100)</f>
        <v>0.15447619953761141</v>
      </c>
      <c r="M4" s="23">
        <f>'R0025_Gen1_Averages'!M4*('R0025_Gen1_Liberation'!$H$3/100)</f>
        <v>8.2441275020934332E-2</v>
      </c>
      <c r="O4" s="23">
        <f>SUM(B4,D4,F4,H4,J4,L4)</f>
        <v>2.3500858829595694</v>
      </c>
      <c r="P4" s="23">
        <f t="shared" si="0"/>
        <v>0.4356995885643421</v>
      </c>
    </row>
    <row r="5" spans="1:16" x14ac:dyDescent="0.25">
      <c r="A5" s="2" t="s">
        <v>8</v>
      </c>
      <c r="B5" s="16">
        <f>'R0025_Gen1_Averages'!B5*('R0025_Gen1_Liberation'!$H$8/100)</f>
        <v>4.4873436193258263E-3</v>
      </c>
      <c r="C5" s="16">
        <f>('R0025_Gen1_Averages'!C5)*('R0025_Gen1_Liberation'!$H$8/100)</f>
        <v>1.5331450457138575E-3</v>
      </c>
      <c r="D5" s="16">
        <f>'R0025_Gen1_Averages'!D5*('R0025_Gen1_Liberation'!$H$7/100)</f>
        <v>3.5286634786934035E-3</v>
      </c>
      <c r="E5" s="16">
        <f>'R0025_Gen1_Averages'!E5*('R0025_Gen1_Liberation'!$H$7/100)</f>
        <v>3.7072215751119612E-3</v>
      </c>
      <c r="F5" s="16">
        <f>'R0025_Gen1_Averages'!F5*('R0025_Gen1_Liberation'!$H$6/100)</f>
        <v>3.6315737972100162E-3</v>
      </c>
      <c r="G5" s="16">
        <f>'R0025_Gen1_Averages'!G5*('R0025_Gen1_Liberation'!$H$6/100)</f>
        <v>4.4958080616092364E-3</v>
      </c>
      <c r="H5" s="16">
        <f>'R0025_Gen1_Averages'!H5*('R0025_Gen1_Liberation'!$H$5/100)</f>
        <v>8.1346103167921999E-2</v>
      </c>
      <c r="I5" s="16">
        <f>'R0025_Gen1_Averages'!I5*('R0025_Gen1_Liberation'!$H$5/100)</f>
        <v>4.19662759781355E-2</v>
      </c>
      <c r="J5" s="16">
        <f>'R0025_Gen1_Averages'!J5*('R0025_Gen1_Liberation'!$H$4/100)</f>
        <v>2.0642148988462609E-2</v>
      </c>
      <c r="K5" s="16">
        <f>'R0025_Gen1_Averages'!K5*('R0025_Gen1_Liberation'!$H$4/100)</f>
        <v>3.5753250825423744E-2</v>
      </c>
      <c r="L5" s="16">
        <f>'R0025_Gen1_Averages'!L5*('R0025_Gen1_Liberation'!$H$3/100)</f>
        <v>0</v>
      </c>
      <c r="M5" s="16">
        <f>'R0025_Gen1_Averages'!M5*('R0025_Gen1_Liberation'!$H$3/100)</f>
        <v>0</v>
      </c>
      <c r="O5" s="16">
        <f>SUM(B5,D5,F5,H5,J5,L5)</f>
        <v>0.11363583305161384</v>
      </c>
      <c r="P5" s="16">
        <f t="shared" si="0"/>
        <v>8.7455701485994297E-2</v>
      </c>
    </row>
    <row r="6" spans="1:16" x14ac:dyDescent="0.25">
      <c r="A6" s="2" t="s">
        <v>6</v>
      </c>
      <c r="B6" s="16">
        <f>'R0025_Gen1_Averages'!B6*('R0025_Gen1_Liberation'!$H$8/100)</f>
        <v>2.8687642061022093E-2</v>
      </c>
      <c r="C6" s="16">
        <f>('R0025_Gen1_Averages'!C6)*('R0025_Gen1_Liberation'!$H$8/100)</f>
        <v>1.979701919216471E-2</v>
      </c>
      <c r="D6" s="16">
        <f>'R0025_Gen1_Averages'!D6*('R0025_Gen1_Liberation'!$H$7/100)</f>
        <v>3.6212954955340284E-3</v>
      </c>
      <c r="E6" s="16">
        <f>'R0025_Gen1_Averages'!E6*('R0025_Gen1_Liberation'!$H$7/100)</f>
        <v>5.2758334772389131E-3</v>
      </c>
      <c r="F6" s="16">
        <f>'R0025_Gen1_Averages'!F6*('R0025_Gen1_Liberation'!$H$6/100)</f>
        <v>9.1760029937225666E-4</v>
      </c>
      <c r="G6" s="16">
        <f>'R0025_Gen1_Averages'!G6*('R0025_Gen1_Liberation'!$H$6/100)</f>
        <v>1.5893303395531609E-3</v>
      </c>
      <c r="H6" s="16">
        <f>'R0025_Gen1_Averages'!H6*('R0025_Gen1_Liberation'!$H$5/100)</f>
        <v>7.7291909091891736E-2</v>
      </c>
      <c r="I6" s="16">
        <f>'R0025_Gen1_Averages'!I6*('R0025_Gen1_Liberation'!$H$5/100)</f>
        <v>3.0386130153671295E-2</v>
      </c>
      <c r="J6" s="16">
        <f>'R0025_Gen1_Averages'!J6*('R0025_Gen1_Liberation'!$H$4/100)</f>
        <v>3.2106687003980484E-2</v>
      </c>
      <c r="K6" s="16">
        <f>'R0025_Gen1_Averages'!K6*('R0025_Gen1_Liberation'!$H$4/100)</f>
        <v>3.2361043210874713E-2</v>
      </c>
      <c r="L6" s="16">
        <f>'R0025_Gen1_Averages'!L6*('R0025_Gen1_Liberation'!$H$3/100)</f>
        <v>3.4625044345440955E-3</v>
      </c>
      <c r="M6" s="16">
        <f>'R0025_Gen1_Averages'!M6*('R0025_Gen1_Liberation'!$H$3/100)</f>
        <v>5.9972336020629197E-3</v>
      </c>
      <c r="O6" s="16">
        <f>SUM(B6,D6,F6,H6,J6,L6)</f>
        <v>0.1460876383863447</v>
      </c>
      <c r="P6" s="16">
        <f t="shared" si="0"/>
        <v>9.5406589975565712E-2</v>
      </c>
    </row>
    <row r="7" spans="1:16" x14ac:dyDescent="0.25">
      <c r="A7" s="2" t="s">
        <v>14</v>
      </c>
      <c r="B7" s="16">
        <f>'R0025_Gen1_Averages'!B7*('R0025_Gen1_Liberation'!$H$8/100)</f>
        <v>2.6744578259286561E-3</v>
      </c>
      <c r="C7" s="16">
        <f>('R0025_Gen1_Averages'!C7)*('R0025_Gen1_Liberation'!$H$8/100)</f>
        <v>1.3477312693535503E-3</v>
      </c>
      <c r="D7" s="16">
        <f>'R0025_Gen1_Averages'!D7*('R0025_Gen1_Liberation'!$H$7/100)</f>
        <v>6.3843462737864535E-3</v>
      </c>
      <c r="E7" s="16">
        <f>'R0025_Gen1_Averages'!E7*('R0025_Gen1_Liberation'!$H$7/100)</f>
        <v>6.7805635775794303E-3</v>
      </c>
      <c r="F7" s="16">
        <f>'R0025_Gen1_Averages'!F7*('R0025_Gen1_Liberation'!$H$6/100)</f>
        <v>0</v>
      </c>
      <c r="G7" s="16">
        <f>'R0025_Gen1_Averages'!G7*('R0025_Gen1_Liberation'!$H$6/100)</f>
        <v>0</v>
      </c>
      <c r="H7" s="16">
        <f>'R0025_Gen1_Averages'!H7*('R0025_Gen1_Liberation'!$H$5/100)</f>
        <v>3.0352587787147143E-2</v>
      </c>
      <c r="I7" s="16">
        <f>'R0025_Gen1_Averages'!I7*('R0025_Gen1_Liberation'!$H$5/100)</f>
        <v>3.6006491727167751E-2</v>
      </c>
      <c r="J7" s="16">
        <f>'R0025_Gen1_Averages'!J7*('R0025_Gen1_Liberation'!$H$4/100)</f>
        <v>6.3844023647376152E-2</v>
      </c>
      <c r="K7" s="16">
        <f>'R0025_Gen1_Averages'!K7*('R0025_Gen1_Liberation'!$H$4/100)</f>
        <v>0.11058109271688436</v>
      </c>
      <c r="L7" s="16">
        <f>'R0025_Gen1_Averages'!L7*('R0025_Gen1_Liberation'!$H$3/100)</f>
        <v>5.4546937854515164E-2</v>
      </c>
      <c r="M7" s="16">
        <f>'R0025_Gen1_Averages'!M7*('R0025_Gen1_Liberation'!$H$3/100)</f>
        <v>9.158029794931434E-2</v>
      </c>
      <c r="O7" s="16">
        <f>SUM(B7,D7,F7,H7,J7,L7)</f>
        <v>0.15780235338875356</v>
      </c>
      <c r="P7" s="16">
        <f t="shared" si="0"/>
        <v>0.24629617724029945</v>
      </c>
    </row>
    <row r="8" spans="1:16" x14ac:dyDescent="0.25">
      <c r="A8" s="2" t="s">
        <v>15</v>
      </c>
      <c r="B8" s="16">
        <f>'R0025_Gen1_Averages'!B8*('R0025_Gen1_Liberation'!$H$8/100)</f>
        <v>2.278318744681752E-2</v>
      </c>
      <c r="C8" s="16">
        <f>('R0025_Gen1_Averages'!C8)*('R0025_Gen1_Liberation'!$H$8/100)</f>
        <v>4.2139096939005551E-3</v>
      </c>
      <c r="D8" s="16">
        <f>'R0025_Gen1_Averages'!D8*('R0025_Gen1_Liberation'!$H$7/100)</f>
        <v>8.8730068984550797E-2</v>
      </c>
      <c r="E8" s="16">
        <f>'R0025_Gen1_Averages'!E8*('R0025_Gen1_Liberation'!$H$7/100)</f>
        <v>0.14198000737710909</v>
      </c>
      <c r="F8" s="16">
        <f>'R0025_Gen1_Averages'!F8*('R0025_Gen1_Liberation'!$H$6/100)</f>
        <v>2.3236369379214506E-3</v>
      </c>
      <c r="G8" s="16">
        <f>'R0025_Gen1_Averages'!G8*('R0025_Gen1_Liberation'!$H$6/100)</f>
        <v>2.4241346361392789E-3</v>
      </c>
      <c r="H8" s="16">
        <f>'R0025_Gen1_Averages'!H8*('R0025_Gen1_Liberation'!$H$5/100)</f>
        <v>8.0668015351024087E-3</v>
      </c>
      <c r="I8" s="16">
        <f>'R0025_Gen1_Averages'!I8*('R0025_Gen1_Liberation'!$H$5/100)</f>
        <v>8.4428151874325359E-3</v>
      </c>
      <c r="J8" s="16">
        <f>'R0025_Gen1_Averages'!J8*('R0025_Gen1_Liberation'!$H$4/100)</f>
        <v>7.9131109579611159E-3</v>
      </c>
      <c r="K8" s="16">
        <f>'R0025_Gen1_Averages'!K8*('R0025_Gen1_Liberation'!$H$4/100)</f>
        <v>9.4595187232376643E-3</v>
      </c>
      <c r="L8" s="16">
        <f>'R0025_Gen1_Averages'!L8*('R0025_Gen1_Liberation'!$H$3/100)</f>
        <v>6.3403745024240375E-3</v>
      </c>
      <c r="M8" s="16">
        <f>'R0025_Gen1_Averages'!M8*('R0025_Gen1_Liberation'!$H$3/100)</f>
        <v>1.0981850777212672E-2</v>
      </c>
      <c r="O8" s="16">
        <f t="shared" si="0"/>
        <v>0.13615718036477734</v>
      </c>
      <c r="P8" s="16">
        <f t="shared" si="0"/>
        <v>0.17750223639503179</v>
      </c>
    </row>
    <row r="9" spans="1:16" x14ac:dyDescent="0.25">
      <c r="A9" s="2" t="s">
        <v>16</v>
      </c>
      <c r="B9" s="16">
        <f>'R0025_Gen1_Averages'!B9*('R0025_Gen1_Liberation'!$H$8/100)</f>
        <v>0.2107942461932181</v>
      </c>
      <c r="C9" s="16">
        <f>('R0025_Gen1_Averages'!C9)*('R0025_Gen1_Liberation'!$H$8/100)</f>
        <v>2.480654153967422E-2</v>
      </c>
      <c r="D9" s="16">
        <f>'R0025_Gen1_Averages'!D9*('R0025_Gen1_Liberation'!$H$7/100)</f>
        <v>0.26278334498710387</v>
      </c>
      <c r="E9" s="16">
        <f>'R0025_Gen1_Averages'!E9*('R0025_Gen1_Liberation'!$H$7/100)</f>
        <v>2.9036690110081718E-2</v>
      </c>
      <c r="F9" s="16">
        <f>'R0025_Gen1_Averages'!F9*('R0025_Gen1_Liberation'!$H$6/100)</f>
        <v>0.41111526548825073</v>
      </c>
      <c r="G9" s="16">
        <f>'R0025_Gen1_Averages'!G9*('R0025_Gen1_Liberation'!$H$6/100)</f>
        <v>2.0240995053939333E-2</v>
      </c>
      <c r="H9" s="16">
        <f>'R0025_Gen1_Averages'!H9*('R0025_Gen1_Liberation'!$H$5/100)</f>
        <v>0.43587255145398507</v>
      </c>
      <c r="I9" s="16">
        <f>'R0025_Gen1_Averages'!I9*('R0025_Gen1_Liberation'!$H$5/100)</f>
        <v>5.8549736894211626E-2</v>
      </c>
      <c r="J9" s="16">
        <f>'R0025_Gen1_Averages'!J9*('R0025_Gen1_Liberation'!$H$4/100)</f>
        <v>0.38571108689939398</v>
      </c>
      <c r="K9" s="16">
        <f>'R0025_Gen1_Averages'!K9*('R0025_Gen1_Liberation'!$H$4/100)</f>
        <v>5.8983088450603911E-2</v>
      </c>
      <c r="L9" s="16">
        <f>'R0025_Gen1_Averages'!L9*('R0025_Gen1_Liberation'!$H$3/100)</f>
        <v>9.0126382746128123E-2</v>
      </c>
      <c r="M9" s="16">
        <f>'R0025_Gen1_Averages'!M9*('R0025_Gen1_Liberation'!$H$3/100)</f>
        <v>7.286313200982393E-3</v>
      </c>
      <c r="O9" s="16">
        <f t="shared" si="0"/>
        <v>1.7964028777680798</v>
      </c>
      <c r="P9" s="16">
        <f t="shared" si="0"/>
        <v>0.1989033652494932</v>
      </c>
    </row>
    <row r="10" spans="1:16" s="10" customFormat="1" x14ac:dyDescent="0.25">
      <c r="A10" s="14" t="s">
        <v>20</v>
      </c>
      <c r="B10" s="18">
        <f>'R0025_Gen1_Averages'!B10*('R0025_Gen1_Liberation'!$H$8/100)</f>
        <v>5.9704834660359412</v>
      </c>
      <c r="C10" s="18">
        <f>('R0025_Gen1_Averages'!C10)*('R0025_Gen1_Liberation'!$H$8/100)</f>
        <v>2.4388194041821017E-2</v>
      </c>
      <c r="D10" s="18">
        <f>'R0025_Gen1_Averages'!D10*('R0025_Gen1_Liberation'!$H$7/100)</f>
        <v>5.9519088931308541</v>
      </c>
      <c r="E10" s="18">
        <f>'R0025_Gen1_Averages'!E10*('R0025_Gen1_Liberation'!$H$7/100)</f>
        <v>0.1320221486975082</v>
      </c>
      <c r="F10" s="18">
        <f>'R0025_Gen1_Averages'!F10*('R0025_Gen1_Liberation'!$H$6/100)</f>
        <v>10.893576680605513</v>
      </c>
      <c r="G10" s="18">
        <f>'R0025_Gen1_Averages'!G10*('R0025_Gen1_Liberation'!$H$6/100)</f>
        <v>2.3715550640148426E-2</v>
      </c>
      <c r="H10" s="18">
        <f>'R0025_Gen1_Averages'!H10*('R0025_Gen1_Liberation'!$H$5/100)</f>
        <v>18.313752586778108</v>
      </c>
      <c r="I10" s="18">
        <f>'R0025_Gen1_Averages'!I10*('R0025_Gen1_Liberation'!$H$5/100)</f>
        <v>1.5400933667353406E-2</v>
      </c>
      <c r="J10" s="18">
        <f>'R0025_Gen1_Averages'!J10*('R0025_Gen1_Liberation'!$H$4/100)</f>
        <v>19.603883952105747</v>
      </c>
      <c r="K10" s="18">
        <f>'R0025_Gen1_Averages'!K10*('R0025_Gen1_Liberation'!$H$4/100)</f>
        <v>0.15773148649658</v>
      </c>
      <c r="L10" s="18">
        <f>'R0025_Gen1_Averages'!L10*('R0025_Gen1_Liberation'!$H$3/100)</f>
        <v>6.2998237621998232</v>
      </c>
      <c r="M10" s="18">
        <f>'R0025_Gen1_Averages'!M10*('R0025_Gen1_Liberation'!$H$3/100)</f>
        <v>8.2441275020934818E-2</v>
      </c>
      <c r="O10" s="18">
        <f t="shared" si="0"/>
        <v>67.033429340855989</v>
      </c>
      <c r="P10" s="18">
        <f t="shared" si="0"/>
        <v>0.43569958856434587</v>
      </c>
    </row>
    <row r="11" spans="1:16" s="11" customFormat="1" x14ac:dyDescent="0.25">
      <c r="A11" s="15" t="s">
        <v>17</v>
      </c>
      <c r="B11" s="17">
        <f>'R0025_Gen1_Averages'!B11*('R0025_Gen1_Liberation'!$H$8/100)</f>
        <v>3.4007992065317643</v>
      </c>
      <c r="C11" s="17">
        <f>('R0025_Gen1_Averages'!C11)*('R0025_Gen1_Liberation'!$H$8/100)</f>
        <v>0.1723843619903761</v>
      </c>
      <c r="D11" s="17">
        <f>'R0025_Gen1_Averages'!D11*('R0025_Gen1_Liberation'!$H$7/100)</f>
        <v>3.6487634817736678</v>
      </c>
      <c r="E11" s="17">
        <f>'R0025_Gen1_Averages'!E11*('R0025_Gen1_Liberation'!$H$7/100)</f>
        <v>4.4287027793081829E-2</v>
      </c>
      <c r="F11" s="17">
        <f>'R0025_Gen1_Averages'!F11*('R0025_Gen1_Liberation'!$H$6/100)</f>
        <v>6.8997032854226807</v>
      </c>
      <c r="G11" s="17">
        <f>'R0025_Gen1_Averages'!G11*('R0025_Gen1_Liberation'!$H$6/100)</f>
        <v>0.22664153037561971</v>
      </c>
      <c r="H11" s="17">
        <f>'R0025_Gen1_Averages'!H11*('R0025_Gen1_Liberation'!$H$5/100)</f>
        <v>11.612498081745402</v>
      </c>
      <c r="I11" s="17">
        <f>'R0025_Gen1_Averages'!I11*('R0025_Gen1_Liberation'!$H$5/100)</f>
        <v>0.43773424616927453</v>
      </c>
      <c r="J11" s="17">
        <f>'R0025_Gen1_Averages'!J11*('R0025_Gen1_Liberation'!$H$4/100)</f>
        <v>11.050585833748631</v>
      </c>
      <c r="K11" s="17">
        <f>'R0025_Gen1_Averages'!K11*('R0025_Gen1_Liberation'!$H$4/100)</f>
        <v>0.61862674075311652</v>
      </c>
      <c r="L11" s="17">
        <f>'R0025_Gen1_Averages'!L11*('R0025_Gen1_Liberation'!$H$3/100)</f>
        <v>1.9909009310586943</v>
      </c>
      <c r="M11" s="17">
        <f>'R0025_Gen1_Averages'!M11*('R0025_Gen1_Liberation'!$H$3/100)</f>
        <v>0.4609598397775046</v>
      </c>
      <c r="O11" s="17">
        <f t="shared" si="0"/>
        <v>38.603250820280842</v>
      </c>
      <c r="P11" s="17">
        <f t="shared" si="0"/>
        <v>1.9606337468589732</v>
      </c>
    </row>
    <row r="12" spans="1:16" x14ac:dyDescent="0.25">
      <c r="A12" s="2" t="s">
        <v>8</v>
      </c>
      <c r="B12" s="16">
        <f>'R0025_Gen1_Averages'!B12*('R0025_Gen1_Liberation'!$H$8/100)</f>
        <v>3.1940857613604061</v>
      </c>
      <c r="C12" s="16">
        <f>('R0025_Gen1_Averages'!C12)*('R0025_Gen1_Liberation'!$H$8/100)</f>
        <v>6.7999815298106114E-2</v>
      </c>
      <c r="D12" s="16">
        <f>'R0025_Gen1_Averages'!D12*('R0025_Gen1_Liberation'!$H$7/100)</f>
        <v>3.4011464459347076</v>
      </c>
      <c r="E12" s="16">
        <f>'R0025_Gen1_Averages'!E12*('R0025_Gen1_Liberation'!$H$7/100)</f>
        <v>5.727787613059529E-2</v>
      </c>
      <c r="F12" s="16">
        <f>'R0025_Gen1_Averages'!F12*('R0025_Gen1_Liberation'!$H$6/100)</f>
        <v>6.1856969274400981</v>
      </c>
      <c r="G12" s="16">
        <f>'R0025_Gen1_Averages'!G12*('R0025_Gen1_Liberation'!$H$6/100)</f>
        <v>0.1403451535876491</v>
      </c>
      <c r="H12" s="16">
        <f>'R0025_Gen1_Averages'!H12*('R0025_Gen1_Liberation'!$H$5/100)</f>
        <v>9.4469649938725873</v>
      </c>
      <c r="I12" s="16">
        <f>'R0025_Gen1_Averages'!I12*('R0025_Gen1_Liberation'!$H$5/100)</f>
        <v>0.55386007814689731</v>
      </c>
      <c r="J12" s="16">
        <f>'R0025_Gen1_Averages'!J12*('R0025_Gen1_Liberation'!$H$4/100)</f>
        <v>7.7968009590297553</v>
      </c>
      <c r="K12" s="16">
        <f>'R0025_Gen1_Averages'!K12*('R0025_Gen1_Liberation'!$H$4/100)</f>
        <v>0.3662017679521995</v>
      </c>
      <c r="L12" s="16">
        <f>'R0025_Gen1_Averages'!L12*('R0025_Gen1_Liberation'!$H$3/100)</f>
        <v>1.1592382274341633</v>
      </c>
      <c r="M12" s="16">
        <f>'R0025_Gen1_Averages'!M12*('R0025_Gen1_Liberation'!$H$3/100)</f>
        <v>0.20432454381921999</v>
      </c>
      <c r="O12" s="16">
        <f t="shared" si="0"/>
        <v>31.18393331507172</v>
      </c>
      <c r="P12" s="16">
        <f t="shared" si="0"/>
        <v>1.3900092349346673</v>
      </c>
    </row>
    <row r="13" spans="1:16" x14ac:dyDescent="0.25">
      <c r="A13" s="2" t="s">
        <v>6</v>
      </c>
      <c r="B13" s="16">
        <f>'R0025_Gen1_Averages'!B13*('R0025_Gen1_Liberation'!$H$8/100)</f>
        <v>0.14296074343757617</v>
      </c>
      <c r="C13" s="16">
        <f>('R0025_Gen1_Averages'!C13)*('R0025_Gen1_Liberation'!$H$8/100)</f>
        <v>0.18000893088519004</v>
      </c>
      <c r="D13" s="16">
        <f>'R0025_Gen1_Averages'!D13*('R0025_Gen1_Liberation'!$H$7/100)</f>
        <v>1.4597730696034506E-2</v>
      </c>
      <c r="E13" s="16">
        <f>'R0025_Gen1_Averages'!E13*('R0025_Gen1_Liberation'!$H$7/100)</f>
        <v>3.6454893476248829E-3</v>
      </c>
      <c r="F13" s="16">
        <f>'R0025_Gen1_Averages'!F13*('R0025_Gen1_Liberation'!$H$6/100)</f>
        <v>0.14672375879172694</v>
      </c>
      <c r="G13" s="16">
        <f>'R0025_Gen1_Averages'!G13*('R0025_Gen1_Liberation'!$H$6/100)</f>
        <v>7.6628250582246663E-2</v>
      </c>
      <c r="H13" s="16">
        <f>'R0025_Gen1_Averages'!H13*('R0025_Gen1_Liberation'!$H$5/100)</f>
        <v>0.19319207148763104</v>
      </c>
      <c r="I13" s="16">
        <f>'R0025_Gen1_Averages'!I13*('R0025_Gen1_Liberation'!$H$5/100)</f>
        <v>9.0451114283155692E-2</v>
      </c>
      <c r="J13" s="16">
        <f>'R0025_Gen1_Averages'!J13*('R0025_Gen1_Liberation'!$H$4/100)</f>
        <v>0.10821959525165613</v>
      </c>
      <c r="K13" s="16">
        <f>'R0025_Gen1_Averages'!K13*('R0025_Gen1_Liberation'!$H$4/100)</f>
        <v>5.4637336238459587E-2</v>
      </c>
      <c r="L13" s="16">
        <f>'R0025_Gen1_Averages'!L13*('R0025_Gen1_Liberation'!$H$3/100)</f>
        <v>4.8944643036586293E-2</v>
      </c>
      <c r="M13" s="16">
        <f>'R0025_Gen1_Averages'!M13*('R0025_Gen1_Liberation'!$H$3/100)</f>
        <v>8.3151219423155703E-2</v>
      </c>
      <c r="O13" s="16">
        <f t="shared" si="0"/>
        <v>0.65463854270121113</v>
      </c>
      <c r="P13" s="16">
        <f t="shared" si="0"/>
        <v>0.48852234075983259</v>
      </c>
    </row>
    <row r="14" spans="1:16" x14ac:dyDescent="0.25">
      <c r="A14" s="2" t="s">
        <v>14</v>
      </c>
      <c r="B14" s="16">
        <f>'R0025_Gen1_Averages'!B14*('R0025_Gen1_Liberation'!$H$8/100)</f>
        <v>3.6251689363976949E-2</v>
      </c>
      <c r="C14" s="16">
        <f>('R0025_Gen1_Averages'!C14)*('R0025_Gen1_Liberation'!$H$8/100)</f>
        <v>1.3212120328722224E-2</v>
      </c>
      <c r="D14" s="16">
        <f>'R0025_Gen1_Averages'!D14*('R0025_Gen1_Liberation'!$H$7/100)</f>
        <v>0.20211050257397256</v>
      </c>
      <c r="E14" s="16">
        <f>'R0025_Gen1_Averages'!E14*('R0025_Gen1_Liberation'!$H$7/100)</f>
        <v>6.9802621752832514E-2</v>
      </c>
      <c r="F14" s="16">
        <f>'R0025_Gen1_Averages'!F14*('R0025_Gen1_Liberation'!$H$6/100)</f>
        <v>0.49419216366270802</v>
      </c>
      <c r="G14" s="16">
        <f>'R0025_Gen1_Averages'!G14*('R0025_Gen1_Liberation'!$H$6/100)</f>
        <v>0.28059769839437299</v>
      </c>
      <c r="H14" s="16">
        <f>'R0025_Gen1_Averages'!H14*('R0025_Gen1_Liberation'!$H$5/100)</f>
        <v>1.7830731490845297</v>
      </c>
      <c r="I14" s="16">
        <f>'R0025_Gen1_Averages'!I14*('R0025_Gen1_Liberation'!$H$5/100)</f>
        <v>0.22572825499622387</v>
      </c>
      <c r="J14" s="16">
        <f>'R0025_Gen1_Averages'!J14*('R0025_Gen1_Liberation'!$H$4/100)</f>
        <v>3.1076600192573478</v>
      </c>
      <c r="K14" s="16">
        <f>'R0025_Gen1_Averages'!K14*('R0025_Gen1_Liberation'!$H$4/100)</f>
        <v>0.22587250167251613</v>
      </c>
      <c r="L14" s="16">
        <f>'R0025_Gen1_Averages'!L14*('R0025_Gen1_Liberation'!$H$3/100)</f>
        <v>0.74585161230123531</v>
      </c>
      <c r="M14" s="16">
        <f>'R0025_Gen1_Averages'!M14*('R0025_Gen1_Liberation'!$H$3/100)</f>
        <v>0.38641911279908658</v>
      </c>
      <c r="O14" s="16">
        <f t="shared" si="0"/>
        <v>6.3691391362437706</v>
      </c>
      <c r="P14" s="16">
        <f t="shared" si="0"/>
        <v>1.2016323099437543</v>
      </c>
    </row>
    <row r="15" spans="1:16" x14ac:dyDescent="0.25">
      <c r="A15" s="2" t="s">
        <v>15</v>
      </c>
      <c r="B15" s="16">
        <f>'R0025_Gen1_Averages'!B15*('R0025_Gen1_Liberation'!$H$8/100)</f>
        <v>2.1101169446557093E-2</v>
      </c>
      <c r="C15" s="16">
        <f>('R0025_Gen1_Averages'!C15)*('R0025_Gen1_Liberation'!$H$8/100)</f>
        <v>1.5633843865150002E-2</v>
      </c>
      <c r="D15" s="16">
        <f>'R0025_Gen1_Averages'!D15*('R0025_Gen1_Liberation'!$H$7/100)</f>
        <v>2.8668282222216745E-2</v>
      </c>
      <c r="E15" s="16">
        <f>'R0025_Gen1_Averages'!E15*('R0025_Gen1_Liberation'!$H$7/100)</f>
        <v>1.8406754518628953E-2</v>
      </c>
      <c r="F15" s="16">
        <f>'R0025_Gen1_Averages'!F15*('R0025_Gen1_Liberation'!$H$6/100)</f>
        <v>6.7658446477272816E-2</v>
      </c>
      <c r="G15" s="16">
        <f>'R0025_Gen1_Averages'!G15*('R0025_Gen1_Liberation'!$H$6/100)</f>
        <v>3.5005237736300758E-2</v>
      </c>
      <c r="H15" s="16">
        <f>'R0025_Gen1_Averages'!H15*('R0025_Gen1_Liberation'!$H$5/100)</f>
        <v>0.18519319557644934</v>
      </c>
      <c r="I15" s="16">
        <f>'R0025_Gen1_Averages'!I15*('R0025_Gen1_Liberation'!$H$5/100)</f>
        <v>0.13776901476875805</v>
      </c>
      <c r="J15" s="16">
        <f>'R0025_Gen1_Averages'!J15*('R0025_Gen1_Liberation'!$H$4/100)</f>
        <v>3.2556178880644354E-2</v>
      </c>
      <c r="K15" s="16">
        <f>'R0025_Gen1_Averages'!K15*('R0025_Gen1_Liberation'!$H$4/100)</f>
        <v>3.4244821622430449E-2</v>
      </c>
      <c r="L15" s="16">
        <f>'R0025_Gen1_Averages'!L15*('R0025_Gen1_Liberation'!$H$3/100)</f>
        <v>3.6866448286709534E-2</v>
      </c>
      <c r="M15" s="16">
        <f>'R0025_Gen1_Averages'!M15*('R0025_Gen1_Liberation'!$H$3/100)</f>
        <v>2.5285860030767375E-2</v>
      </c>
      <c r="O15" s="16">
        <f t="shared" si="0"/>
        <v>0.37204372088984988</v>
      </c>
      <c r="P15" s="16">
        <f t="shared" si="0"/>
        <v>0.26634553254203558</v>
      </c>
    </row>
    <row r="16" spans="1:16" x14ac:dyDescent="0.25">
      <c r="A16" s="2" t="s">
        <v>16</v>
      </c>
      <c r="B16" s="16">
        <f>'R0025_Gen1_Averages'!B16*('R0025_Gen1_Liberation'!$H$8/100)</f>
        <v>5.9845469332251737E-3</v>
      </c>
      <c r="C16" s="16">
        <f>('R0025_Gen1_Averages'!C16)*('R0025_Gen1_Liberation'!$H$8/100)</f>
        <v>3.6516992476574197E-3</v>
      </c>
      <c r="D16" s="16">
        <f>'R0025_Gen1_Averages'!D16*('R0025_Gen1_Liberation'!$H$7/100)</f>
        <v>2.2405203467366118E-3</v>
      </c>
      <c r="E16" s="16">
        <f>'R0025_Gen1_Averages'!E16*('R0025_Gen1_Liberation'!$H$7/100)</f>
        <v>1.4068404218623696E-3</v>
      </c>
      <c r="F16" s="16">
        <f>'R0025_Gen1_Averages'!F16*('R0025_Gen1_Liberation'!$H$6/100)</f>
        <v>5.4319890508754002E-3</v>
      </c>
      <c r="G16" s="16">
        <f>'R0025_Gen1_Averages'!G16*('R0025_Gen1_Liberation'!$H$6/100)</f>
        <v>3.6411907141959241E-3</v>
      </c>
      <c r="H16" s="16">
        <f>'R0025_Gen1_Averages'!H16*('R0025_Gen1_Liberation'!$H$5/100)</f>
        <v>4.0746717242052585E-3</v>
      </c>
      <c r="I16" s="16">
        <f>'R0025_Gen1_Averages'!I16*('R0025_Gen1_Liberation'!$H$5/100)</f>
        <v>5.4629289079420849E-3</v>
      </c>
      <c r="J16" s="16">
        <f>'R0025_Gen1_Averages'!J16*('R0025_Gen1_Liberation'!$H$4/100)</f>
        <v>5.3490813292273237E-3</v>
      </c>
      <c r="K16" s="16">
        <f>'R0025_Gen1_Averages'!K16*('R0025_Gen1_Liberation'!$H$4/100)</f>
        <v>3.7720659631338706E-3</v>
      </c>
      <c r="L16" s="16">
        <f>'R0025_Gen1_Averages'!L16*('R0025_Gen1_Liberation'!$H$3/100)</f>
        <v>0</v>
      </c>
      <c r="M16" s="16">
        <f>'R0025_Gen1_Averages'!M16*('R0025_Gen1_Liberation'!$H$3/100)</f>
        <v>0</v>
      </c>
      <c r="O16" s="16">
        <f t="shared" si="0"/>
        <v>2.308080938426977E-2</v>
      </c>
      <c r="P16" s="16">
        <f t="shared" si="0"/>
        <v>1.7934725254791669E-2</v>
      </c>
    </row>
    <row r="17" spans="1:21" s="20" customFormat="1" x14ac:dyDescent="0.25">
      <c r="A17" s="12" t="s">
        <v>18</v>
      </c>
      <c r="B17" s="19">
        <f>'R0025_Gen1_Averages'!B17*('R0025_Gen1_Liberation'!$H$8/100)</f>
        <v>2.5696842595041773</v>
      </c>
      <c r="C17" s="19">
        <f>('R0025_Gen1_Averages'!C17)*('R0025_Gen1_Liberation'!$H$8/100)</f>
        <v>0.17330510045744646</v>
      </c>
      <c r="D17" s="19">
        <f>'R0025_Gen1_Averages'!D17*('R0025_Gen1_Liberation'!$H$7/100)</f>
        <v>2.3031454113571863</v>
      </c>
      <c r="E17" s="19">
        <f>'R0025_Gen1_Averages'!E17*('R0025_Gen1_Liberation'!$H$7/100)</f>
        <v>9.9513718356149791E-2</v>
      </c>
      <c r="F17" s="19">
        <f>'R0025_Gen1_Averages'!F17*('R0025_Gen1_Liberation'!$H$6/100)</f>
        <v>3.9938733951828307</v>
      </c>
      <c r="G17" s="19">
        <f>'R0025_Gen1_Averages'!G17*('R0025_Gen1_Liberation'!$H$6/100)</f>
        <v>0.21496772726836291</v>
      </c>
      <c r="H17" s="19">
        <f>'R0025_Gen1_Averages'!H17*('R0025_Gen1_Liberation'!$H$5/100)</f>
        <v>6.7012545050327068</v>
      </c>
      <c r="I17" s="19">
        <f>'R0025_Gen1_Averages'!I17*('R0025_Gen1_Liberation'!$H$5/100)</f>
        <v>0.4397110330591335</v>
      </c>
      <c r="J17" s="19">
        <f>'R0025_Gen1_Averages'!J17*('R0025_Gen1_Liberation'!$H$4/100)</f>
        <v>8.553298118357116</v>
      </c>
      <c r="K17" s="19">
        <f>'R0025_Gen1_Averages'!K17*('R0025_Gen1_Liberation'!$H$4/100)</f>
        <v>0.74346202488510349</v>
      </c>
      <c r="L17" s="19">
        <f>'R0025_Gen1_Averages'!L17*('R0025_Gen1_Liberation'!$H$3/100)</f>
        <v>4.3089228311411292</v>
      </c>
      <c r="M17" s="19">
        <f>'R0025_Gen1_Averages'!M17*('R0025_Gen1_Liberation'!$H$3/100)</f>
        <v>0.42488549003403403</v>
      </c>
      <c r="O17" s="19">
        <f>SUM(B17,D17,F17,H17,J17,L17)</f>
        <v>28.430178520575147</v>
      </c>
      <c r="P17" s="19">
        <f>SUM(C17,E17,G17,I17,K17,M17)</f>
        <v>2.09584509406023</v>
      </c>
    </row>
    <row r="18" spans="1:21" x14ac:dyDescent="0.25">
      <c r="A18" s="2" t="s">
        <v>8</v>
      </c>
      <c r="B18" s="16">
        <f>'R0025_Gen1_Averages'!B18*('R0025_Gen1_Liberation'!$H$8/100)</f>
        <v>1.5522912199946105E-2</v>
      </c>
      <c r="C18" s="16">
        <f>('R0025_Gen1_Averages'!C18)*('R0025_Gen1_Liberation'!$H$8/100)</f>
        <v>6.2938746209669572E-3</v>
      </c>
      <c r="D18" s="16">
        <f>'R0025_Gen1_Averages'!D18*('R0025_Gen1_Liberation'!$H$7/100)</f>
        <v>1.7030864010215672E-3</v>
      </c>
      <c r="E18" s="16">
        <f>'R0025_Gen1_Averages'!E18*('R0025_Gen1_Liberation'!$H$7/100)</f>
        <v>2.9498321762489788E-3</v>
      </c>
      <c r="F18" s="16">
        <f>'R0025_Gen1_Averages'!F18*('R0025_Gen1_Liberation'!$H$6/100)</f>
        <v>0</v>
      </c>
      <c r="G18" s="16">
        <f>'R0025_Gen1_Averages'!G18*('R0025_Gen1_Liberation'!$H$6/100)</f>
        <v>0</v>
      </c>
      <c r="H18" s="16">
        <f>'R0025_Gen1_Averages'!H18*('R0025_Gen1_Liberation'!$H$5/100)</f>
        <v>2.2990347608184483E-2</v>
      </c>
      <c r="I18" s="16">
        <f>'R0025_Gen1_Averages'!I18*('R0025_Gen1_Liberation'!$H$5/100)</f>
        <v>2.0168461461653513E-2</v>
      </c>
      <c r="J18" s="16">
        <f>'R0025_Gen1_Averages'!J18*('R0025_Gen1_Liberation'!$H$4/100)</f>
        <v>0.12025480779869971</v>
      </c>
      <c r="K18" s="16">
        <f>'R0025_Gen1_Averages'!K18*('R0025_Gen1_Liberation'!$H$4/100)</f>
        <v>0.15537490878901872</v>
      </c>
      <c r="L18" s="16">
        <f>'R0025_Gen1_Averages'!L18*('R0025_Gen1_Liberation'!$H$3/100)</f>
        <v>3.2417395735901723E-2</v>
      </c>
      <c r="M18" s="16">
        <f>'R0025_Gen1_Averages'!M18*('R0025_Gen1_Liberation'!$H$3/100)</f>
        <v>3.3657584154685713E-2</v>
      </c>
      <c r="O18" s="16">
        <f>SUM(B18,D18,F18,H18,J18,L18)</f>
        <v>0.19288854974375358</v>
      </c>
      <c r="P18" s="16">
        <f>SUM(C18,E18,G18,I18,K18,M18)</f>
        <v>0.21844466120257389</v>
      </c>
    </row>
    <row r="19" spans="1:21" x14ac:dyDescent="0.25">
      <c r="A19" s="2" t="s">
        <v>6</v>
      </c>
      <c r="B19" s="16">
        <f>'R0025_Gen1_Averages'!B19*('R0025_Gen1_Liberation'!$H$8/100)</f>
        <v>2.4745801353661818</v>
      </c>
      <c r="C19" s="16">
        <f>('R0025_Gen1_Averages'!C19)*('R0025_Gen1_Liberation'!$H$8/100)</f>
        <v>0.16042059704673411</v>
      </c>
      <c r="D19" s="16">
        <f>'R0025_Gen1_Averages'!D19*('R0025_Gen1_Liberation'!$H$7/100)</f>
        <v>2.1144863348650165</v>
      </c>
      <c r="E19" s="16">
        <f>'R0025_Gen1_Averages'!E19*('R0025_Gen1_Liberation'!$H$7/100)</f>
        <v>6.7821470820642965E-2</v>
      </c>
      <c r="F19" s="16">
        <f>'R0025_Gen1_Averages'!F19*('R0025_Gen1_Liberation'!$H$6/100)</f>
        <v>3.4239420301135235</v>
      </c>
      <c r="G19" s="16">
        <f>'R0025_Gen1_Averages'!G19*('R0025_Gen1_Liberation'!$H$6/100)</f>
        <v>0.19165583730345315</v>
      </c>
      <c r="H19" s="16">
        <f>'R0025_Gen1_Averages'!H19*('R0025_Gen1_Liberation'!$H$5/100)</f>
        <v>5.2988074785116392</v>
      </c>
      <c r="I19" s="16">
        <f>'R0025_Gen1_Averages'!I19*('R0025_Gen1_Liberation'!$H$5/100)</f>
        <v>0.41252655491406109</v>
      </c>
      <c r="J19" s="16">
        <f>'R0025_Gen1_Averages'!J19*('R0025_Gen1_Liberation'!$H$4/100)</f>
        <v>4.3031461549458667</v>
      </c>
      <c r="K19" s="16">
        <f>'R0025_Gen1_Averages'!K19*('R0025_Gen1_Liberation'!$H$4/100)</f>
        <v>0.40191015118005835</v>
      </c>
      <c r="L19" s="16">
        <f>'R0025_Gen1_Averages'!L19*('R0025_Gen1_Liberation'!$H$3/100)</f>
        <v>0.68903552681727187</v>
      </c>
      <c r="M19" s="16">
        <f>'R0025_Gen1_Averages'!M19*('R0025_Gen1_Liberation'!$H$3/100)</f>
        <v>4.5830186148558202E-2</v>
      </c>
      <c r="O19" s="16">
        <f t="shared" ref="O19:P22" si="1">SUM(B19,D19,F19,H19,J19,L19)</f>
        <v>18.303997660619498</v>
      </c>
      <c r="P19" s="16">
        <f t="shared" si="1"/>
        <v>1.280164797413508</v>
      </c>
    </row>
    <row r="20" spans="1:21" x14ac:dyDescent="0.25">
      <c r="A20" s="2" t="s">
        <v>14</v>
      </c>
      <c r="B20" s="16">
        <f>'R0025_Gen1_Averages'!B20*('R0025_Gen1_Liberation'!$H$8/100)</f>
        <v>1.3715081695789303E-2</v>
      </c>
      <c r="C20" s="16">
        <f>('R0025_Gen1_Averages'!C20)*('R0025_Gen1_Liberation'!$H$8/100)</f>
        <v>4.2108017904875896E-3</v>
      </c>
      <c r="D20" s="16">
        <f>'R0025_Gen1_Averages'!D20*('R0025_Gen1_Liberation'!$H$7/100)</f>
        <v>6.040696910256288E-2</v>
      </c>
      <c r="E20" s="16">
        <f>'R0025_Gen1_Averages'!E20*('R0025_Gen1_Liberation'!$H$7/100)</f>
        <v>2.6265345281691888E-2</v>
      </c>
      <c r="F20" s="16">
        <f>'R0025_Gen1_Averages'!F20*('R0025_Gen1_Liberation'!$H$6/100)</f>
        <v>0.15804895305730182</v>
      </c>
      <c r="G20" s="16">
        <f>'R0025_Gen1_Averages'!G20*('R0025_Gen1_Liberation'!$H$6/100)</f>
        <v>2.9201663174134414E-2</v>
      </c>
      <c r="H20" s="16">
        <f>'R0025_Gen1_Averages'!H20*('R0025_Gen1_Liberation'!$H$5/100)</f>
        <v>0.61089356592561772</v>
      </c>
      <c r="I20" s="16">
        <f>'R0025_Gen1_Averages'!I20*('R0025_Gen1_Liberation'!$H$5/100)</f>
        <v>0.15965168367469756</v>
      </c>
      <c r="J20" s="16">
        <f>'R0025_Gen1_Averages'!J20*('R0025_Gen1_Liberation'!$H$4/100)</f>
        <v>3.0923751751997535</v>
      </c>
      <c r="K20" s="16">
        <f>'R0025_Gen1_Averages'!K20*('R0025_Gen1_Liberation'!$H$4/100)</f>
        <v>0.67543954076910306</v>
      </c>
      <c r="L20" s="16">
        <f>'R0025_Gen1_Averages'!L20*('R0025_Gen1_Liberation'!$H$3/100)</f>
        <v>2.7443636712922443</v>
      </c>
      <c r="M20" s="16">
        <f>'R0025_Gen1_Averages'!M20*('R0025_Gen1_Liberation'!$H$3/100)</f>
        <v>0.42885179201001006</v>
      </c>
      <c r="O20" s="16">
        <f t="shared" si="1"/>
        <v>6.6798034162732698</v>
      </c>
      <c r="P20" s="16">
        <f t="shared" si="1"/>
        <v>1.3236208267001246</v>
      </c>
    </row>
    <row r="21" spans="1:21" x14ac:dyDescent="0.25">
      <c r="A21" s="2" t="s">
        <v>15</v>
      </c>
      <c r="B21" s="16">
        <f>'R0025_Gen1_Averages'!B21*('R0025_Gen1_Liberation'!$H$8/100)</f>
        <v>5.4706150344149704E-2</v>
      </c>
      <c r="C21" s="16">
        <f>('R0025_Gen1_Averages'!C21)*('R0025_Gen1_Liberation'!$H$8/100)</f>
        <v>7.3183724062868515E-3</v>
      </c>
      <c r="D21" s="16">
        <f>'R0025_Gen1_Averages'!D21*('R0025_Gen1_Liberation'!$H$7/100)</f>
        <v>0.11053847626366746</v>
      </c>
      <c r="E21" s="16">
        <f>'R0025_Gen1_Averages'!E21*('R0025_Gen1_Liberation'!$H$7/100)</f>
        <v>2.0858273804867988E-2</v>
      </c>
      <c r="F21" s="16">
        <f>'R0025_Gen1_Averages'!F21*('R0025_Gen1_Liberation'!$H$6/100)</f>
        <v>0.36926620354350703</v>
      </c>
      <c r="G21" s="16">
        <f>'R0025_Gen1_Averages'!G21*('R0025_Gen1_Liberation'!$H$6/100)</f>
        <v>2.0146720399516291E-2</v>
      </c>
      <c r="H21" s="16">
        <f>'R0025_Gen1_Averages'!H21*('R0025_Gen1_Liberation'!$H$5/100)</f>
        <v>0.71455846364469167</v>
      </c>
      <c r="I21" s="16">
        <f>'R0025_Gen1_Averages'!I21*('R0025_Gen1_Liberation'!$H$5/100)</f>
        <v>0.28466010484314547</v>
      </c>
      <c r="J21" s="16">
        <f>'R0025_Gen1_Averages'!J21*('R0025_Gen1_Liberation'!$H$4/100)</f>
        <v>1.0103010749728465</v>
      </c>
      <c r="K21" s="16">
        <f>'R0025_Gen1_Averages'!K21*('R0025_Gen1_Liberation'!$H$4/100)</f>
        <v>0.18949858810096137</v>
      </c>
      <c r="L21" s="16">
        <f>'R0025_Gen1_Averages'!L21*('R0025_Gen1_Liberation'!$H$3/100)</f>
        <v>0.83564631138303203</v>
      </c>
      <c r="M21" s="16">
        <f>'R0025_Gen1_Averages'!M21*('R0025_Gen1_Liberation'!$H$3/100)</f>
        <v>6.6779760809085056E-2</v>
      </c>
      <c r="O21" s="16">
        <f t="shared" si="1"/>
        <v>3.0950166801518941</v>
      </c>
      <c r="P21" s="16">
        <f t="shared" si="1"/>
        <v>0.58926182036386299</v>
      </c>
    </row>
    <row r="22" spans="1:21" x14ac:dyDescent="0.25">
      <c r="A22" s="2" t="s">
        <v>16</v>
      </c>
      <c r="B22" s="16">
        <f>'R0025_Gen1_Averages'!B22*('R0025_Gen1_Liberation'!$H$8/100)</f>
        <v>1.115997989810995E-2</v>
      </c>
      <c r="C22" s="16">
        <f>('R0025_Gen1_Averages'!C22)*('R0025_Gen1_Liberation'!$H$8/100)</f>
        <v>4.4817194471906156E-3</v>
      </c>
      <c r="D22" s="16">
        <f>'R0025_Gen1_Averages'!D22*('R0025_Gen1_Liberation'!$H$7/100)</f>
        <v>1.6010544724917909E-2</v>
      </c>
      <c r="E22" s="16">
        <f>'R0025_Gen1_Averages'!E22*('R0025_Gen1_Liberation'!$H$7/100)</f>
        <v>3.9854390955534127E-3</v>
      </c>
      <c r="F22" s="16">
        <f>'R0025_Gen1_Averages'!F22*('R0025_Gen1_Liberation'!$H$6/100)</f>
        <v>4.2616208468498167E-2</v>
      </c>
      <c r="G22" s="16">
        <f>'R0025_Gen1_Averages'!G22*('R0025_Gen1_Liberation'!$H$6/100)</f>
        <v>9.8897887004030342E-3</v>
      </c>
      <c r="H22" s="16">
        <f>'R0025_Gen1_Averages'!H22*('R0025_Gen1_Liberation'!$H$5/100)</f>
        <v>5.4004649342573298E-2</v>
      </c>
      <c r="I22" s="16">
        <f>'R0025_Gen1_Averages'!I22*('R0025_Gen1_Liberation'!$H$5/100)</f>
        <v>1.1085167044776913E-2</v>
      </c>
      <c r="J22" s="16">
        <f>'R0025_Gen1_Averages'!J22*('R0025_Gen1_Liberation'!$H$4/100)</f>
        <v>2.7220905439949157E-2</v>
      </c>
      <c r="K22" s="16">
        <f>'R0025_Gen1_Averages'!K22*('R0025_Gen1_Liberation'!$H$4/100)</f>
        <v>1.2699240141554432E-2</v>
      </c>
      <c r="L22" s="16">
        <f>'R0025_Gen1_Averages'!L22*('R0025_Gen1_Liberation'!$H$3/100)</f>
        <v>7.4599259126787287E-3</v>
      </c>
      <c r="M22" s="16">
        <f>'R0025_Gen1_Averages'!M22*('R0025_Gen1_Liberation'!$H$3/100)</f>
        <v>1.1787547018426712E-2</v>
      </c>
      <c r="O22" s="16">
        <f t="shared" si="1"/>
        <v>0.15847221378672718</v>
      </c>
      <c r="P22" s="16">
        <f t="shared" si="1"/>
        <v>5.3928901447905117E-2</v>
      </c>
    </row>
    <row r="24" spans="1:21" x14ac:dyDescent="0.25">
      <c r="A24" t="s">
        <v>109</v>
      </c>
      <c r="F24" t="s">
        <v>76</v>
      </c>
      <c r="O24" s="16"/>
    </row>
    <row r="25" spans="1:21" x14ac:dyDescent="0.25">
      <c r="A25" t="s">
        <v>110</v>
      </c>
      <c r="B25" s="46">
        <v>1</v>
      </c>
      <c r="C25" s="47">
        <f>B25</f>
        <v>1</v>
      </c>
      <c r="D25" s="45">
        <v>2</v>
      </c>
      <c r="E25" s="47">
        <f>D25</f>
        <v>2</v>
      </c>
      <c r="F25" s="45">
        <v>2.8</v>
      </c>
      <c r="G25" s="47">
        <f>F25</f>
        <v>2.8</v>
      </c>
      <c r="H25" s="45">
        <v>4</v>
      </c>
      <c r="I25" s="47">
        <f>H25</f>
        <v>4</v>
      </c>
      <c r="J25" s="45">
        <v>5.6</v>
      </c>
      <c r="K25" s="47">
        <f>J25</f>
        <v>5.6</v>
      </c>
      <c r="L25" s="45">
        <v>8</v>
      </c>
      <c r="M25" s="47">
        <f>L25</f>
        <v>8</v>
      </c>
      <c r="O25" s="16" t="s">
        <v>111</v>
      </c>
      <c r="S25" t="s">
        <v>112</v>
      </c>
      <c r="U25" t="s">
        <v>113</v>
      </c>
    </row>
    <row r="26" spans="1:21" x14ac:dyDescent="0.25">
      <c r="A26" s="2" t="s">
        <v>77</v>
      </c>
      <c r="B26">
        <f>(B8+B9+($L$40+$L$41)*B7)/B4</f>
        <v>0.86744648548100689</v>
      </c>
      <c r="C26" s="48">
        <f>(SQRT(SUMSQ(
(100*(C4/B4)),
(100*(SQRT(SUMSQ(C8,C9)))/(B8+B9))
)))
*0.01*((B8+B9)/B4)</f>
        <v>0.12198374244977828</v>
      </c>
      <c r="D26">
        <f>(D8+D9+($L$40+$L$41)*D7)/D4</f>
        <v>0.96381366796311108</v>
      </c>
      <c r="E26" s="48">
        <f>(SQRT(SUMSQ(
(100*(E4/D4)),
(100*(SQRT(SUMSQ(E8,E9)))/(D8+D9))
)))
*0.01*((D8+D9)/D4)</f>
        <v>0.52808604472067711</v>
      </c>
      <c r="F26">
        <f>(F8+F9+($L$40+$L$41)*F7)/F4</f>
        <v>0.98911649792877609</v>
      </c>
      <c r="G26" s="48">
        <f>(SQRT(SUMSQ(
(100*(G4/F4)),
(100*(SQRT(SUMSQ(G8,G9)))/(F8+F9))
)))
*0.01*((F8+F9)/F4)</f>
        <v>7.435078075322489E-2</v>
      </c>
      <c r="H26">
        <f>(H8+H9+($L$40+$L$41)*H7)/H4</f>
        <v>0.70384157854526153</v>
      </c>
      <c r="I26" s="48">
        <f>(SQRT(SUMSQ(
(100*(I4/H4)),
(100*(SQRT(SUMSQ(I8,I9)))/(H8+H9))
)))
*0.01*((H8+H9)/H4)</f>
        <v>9.5008196927029623E-2</v>
      </c>
      <c r="J26">
        <f>(J8+J9+($L$40+$L$41)*J7)/J4</f>
        <v>0.77784521950303231</v>
      </c>
      <c r="K26" s="48">
        <f>(SQRT(SUMSQ(
(100*(K4/J4)),
(100*(SQRT(SUMSQ(K8,K9)))/(J8+J9))
)))
*0.01*((J8+J9)/J4)</f>
        <v>0.2656891771629688</v>
      </c>
      <c r="L26">
        <f>(L8+L9+($L$40+$L$41)*L7)/L4</f>
        <v>0.64242785429467286</v>
      </c>
      <c r="M26" s="48">
        <f>(SQRT(SUMSQ(
(100*(M4/L4)),
(100*(SQRT(SUMSQ(M8,M9)))/(L8+L9))
)))
*0.01*((L8+L9)/L4)</f>
        <v>0.34401911732185819</v>
      </c>
      <c r="O26">
        <f>(O8+O9+($L$40+$L$41)*O7)/O4</f>
        <v>0.82574957160492024</v>
      </c>
      <c r="P26" s="48">
        <f>(SQRT(SUMSQ(
(100*(P4/O4)),
(100*(SQRT(SUMSQ(P8,P9)))/(O8+O9))
)))
*0.01*((O8+O9)/O4)</f>
        <v>0.1900312150643077</v>
      </c>
      <c r="S26">
        <f>(L40+L41)*(O85+O86)/(O85+O86)</f>
        <v>5.0837980445161315E-2</v>
      </c>
    </row>
    <row r="27" spans="1:21" x14ac:dyDescent="0.25">
      <c r="A27" s="2" t="s">
        <v>45</v>
      </c>
      <c r="B27">
        <f>(B12+B14*$L$38)/B11</f>
        <v>0.94582515916575594</v>
      </c>
      <c r="C27" s="48">
        <f>(SQRT(SUMSQ(
(100*C11/B11),
(100*C12/B12)
)))
*0.01*(B12/B11)</f>
        <v>5.1636787411003887E-2</v>
      </c>
      <c r="D27">
        <f>(D12+D14*$L$38)/D11</f>
        <v>0.96647891250311779</v>
      </c>
      <c r="E27" s="48">
        <f>(SQRT(SUMSQ(
(100*E11/D11),
(100*E12/D12)
)))
*0.01*(D12/D11)</f>
        <v>1.935011283743001E-2</v>
      </c>
      <c r="F27">
        <f>(F12+F14*$L$38)/F11</f>
        <v>0.94092324272288519</v>
      </c>
      <c r="G27" s="48">
        <f>(SQRT(SUMSQ(
(100*G11/F11),
(100*G12/F12)
)))
*0.01*(F12/F11)</f>
        <v>3.5790736438407848E-2</v>
      </c>
      <c r="H27">
        <f>(H12+H14*$L$38)/H11</f>
        <v>0.90871513308796248</v>
      </c>
      <c r="I27" s="48">
        <f>(SQRT(SUMSQ(
(100*I11/H11),
(100*I12/H12)
)))
*0.01*(H12/H11)</f>
        <v>5.6702809142810402E-2</v>
      </c>
      <c r="J27">
        <f>(J12+J14*$L$38)/J11</f>
        <v>0.87990986464580556</v>
      </c>
      <c r="K27" s="48">
        <f>(SQRT(SUMSQ(
(100*K11/J11),
(100*K12/J12)
)))
*0.01*(J12/J11)</f>
        <v>5.155831296998082E-2</v>
      </c>
      <c r="L27">
        <f>(L12+L14*$L$38)/L11</f>
        <v>0.8145351870878289</v>
      </c>
      <c r="M27" s="48">
        <f>(SQRT(SUMSQ(
(100*M11/L11),
(100*M12/L12)
)))
*0.01*(L12/L11)</f>
        <v>0.16943343626844176</v>
      </c>
      <c r="O27">
        <f>(O12+O14*$L$38)/O11</f>
        <v>0.91009787887509497</v>
      </c>
      <c r="P27" s="48">
        <f>(SQRT(SUMSQ(
(100*P11/O11),
(100*P12/O12)
)))
*0.01*(O12/O11)</f>
        <v>5.4587875257240487E-2</v>
      </c>
      <c r="S27">
        <f>(L38)*(O85+O86)/(O85+O86)</f>
        <v>0.61999012577357027</v>
      </c>
    </row>
    <row r="28" spans="1:21" x14ac:dyDescent="0.25">
      <c r="A28" s="2" t="s">
        <v>46</v>
      </c>
      <c r="B28">
        <f>(B19+B20*$L$39)/B17</f>
        <v>0.96474683440668818</v>
      </c>
      <c r="C28" s="48">
        <f>(SQRT(SUMSQ(
(100*C17/B17),
(100*C19/B19)
)))
*0.01*(B19/B17)</f>
        <v>9.0084810471839027E-2</v>
      </c>
      <c r="D28">
        <f>(D19+D20*$L$39)/D17</f>
        <v>0.92671986786295091</v>
      </c>
      <c r="E28" s="48">
        <f>(SQRT(SUMSQ(
(100*E17/D17),
(100*E19/D19)
)))
*0.01*(D19/D17)</f>
        <v>4.9403745332064763E-2</v>
      </c>
      <c r="F28">
        <f>(F19+F20*$L$39)/F17</f>
        <v>0.87032485994524633</v>
      </c>
      <c r="G28" s="48">
        <f>(SQRT(SUMSQ(
(100*G17/F17),
(100*G19/F19)
)))
*0.01*(F19/F17)</f>
        <v>6.6573449821195285E-2</v>
      </c>
      <c r="H28">
        <f>(H19+H20*$L$39)/H17</f>
        <v>0.82072639777756418</v>
      </c>
      <c r="I28" s="48">
        <f>(SQRT(SUMSQ(
(100*I17/H17),
(100*I19/H19)
)))
*0.01*(H19/H17)</f>
        <v>8.050796128281297E-2</v>
      </c>
      <c r="J28">
        <f>(J19+J20*$L$39)/J17</f>
        <v>0.62210729405402765</v>
      </c>
      <c r="K28" s="48">
        <f>(SQRT(SUMSQ(
(100*K17/J17),
(100*K19/J19)
)))
*0.01*(J19/J17)</f>
        <v>6.4189209275303652E-2</v>
      </c>
      <c r="L28">
        <f>(L19+L20*$L$39)/L17</f>
        <v>0.36955939480107602</v>
      </c>
      <c r="M28" s="48">
        <f>(SQRT(SUMSQ(
(100*M17/L17),
(100*M19/L19)
)))
*0.01*(L19/L17)</f>
        <v>1.9019886914359699E-2</v>
      </c>
      <c r="O28">
        <f>(O19+O20*$L$39)/O17</f>
        <v>0.7211632943635129</v>
      </c>
      <c r="P28" s="48">
        <f>(SQRT(SUMSQ(
(100*P17/O17),
(100*P19/O19)
)))
*0.01*(O19/O17)</f>
        <v>6.542320221559815E-2</v>
      </c>
      <c r="S28">
        <f>(L39)*(O85+O86)/(O85+O86)</f>
        <v>0.32917189378126849</v>
      </c>
    </row>
    <row r="29" spans="1:21" x14ac:dyDescent="0.25">
      <c r="F29" t="s">
        <v>76</v>
      </c>
    </row>
    <row r="30" spans="1:21" x14ac:dyDescent="0.25">
      <c r="A30" t="s">
        <v>114</v>
      </c>
      <c r="B30" s="46">
        <v>1</v>
      </c>
      <c r="C30" s="47">
        <f>B30</f>
        <v>1</v>
      </c>
      <c r="D30" s="45">
        <v>2</v>
      </c>
      <c r="E30" s="47">
        <f>D30</f>
        <v>2</v>
      </c>
      <c r="F30" s="45">
        <v>2.8</v>
      </c>
      <c r="G30" s="47">
        <f>F30</f>
        <v>2.8</v>
      </c>
      <c r="H30" s="45">
        <v>4</v>
      </c>
      <c r="I30" s="47">
        <f>H30</f>
        <v>4</v>
      </c>
      <c r="J30" s="45">
        <v>5.6</v>
      </c>
      <c r="K30" s="47">
        <f>J30</f>
        <v>5.6</v>
      </c>
      <c r="L30" s="45">
        <v>8</v>
      </c>
      <c r="M30" s="47">
        <f>L30</f>
        <v>8</v>
      </c>
      <c r="O30" t="s">
        <v>115</v>
      </c>
      <c r="Q30" t="s">
        <v>116</v>
      </c>
    </row>
    <row r="31" spans="1:21" x14ac:dyDescent="0.25">
      <c r="A31" s="2" t="s">
        <v>77</v>
      </c>
      <c r="B31">
        <f>(B9+B8)/(B8+B9+B15+B16+B21+B22+(B20+B14+B7)*($L$40+$L$41))</f>
        <v>0.70951872389403459</v>
      </c>
      <c r="C31" s="48">
        <f>SQRT(SUMSQ((100*(SQRT(SUMSQ(C8,C9,C15,C16,C21,C22)))/(B8+B9+B15+B16+B21+B22)),(100*(SQRT(SUMSQ(C8,C9)))/(B9+B8))))*0.01*((B8+B9)/(B8+B9+B15+B16+B21+B22))</f>
        <v>0.1027959003396802</v>
      </c>
      <c r="D31">
        <f>(D9+D8)/(D8+D9+D15+D16+D21+D22+(D20+D14+D7)*($L$40+$L$41))</f>
        <v>0.67257059459573409</v>
      </c>
      <c r="E31" s="48">
        <f>SQRT(SUMSQ((100*(SQRT(SUMSQ(E8,E9,E15,E16,E21,E22)))/(D8+D9+D15+D16+D21+D22)),(100*(SQRT(SUMSQ(E8,E9)))/(D9+D8))))*0.01*((D8+D9)/(D8+D9+D15+D16+D21+D22))</f>
        <v>0.34813364283362946</v>
      </c>
      <c r="F31">
        <f>(F9+F8)/(F8+F9+F15+F16+F21+F22+(F20+F14+F7)*($L$40+$L$41))</f>
        <v>0.44380855730346497</v>
      </c>
      <c r="G31" s="48">
        <f>SQRT(SUMSQ((100*(SQRT(SUMSQ(G8,G9,G15,G16,G21,G22)))/(F8+F9+F15+F16+F21+F22)),(100*(SQRT(SUMSQ(G8,G9)))/(F9+F8))))*0.01*((F8+F9)/(F8+F9+F15+F16+F21+F22))</f>
        <v>3.2879275442264426E-2</v>
      </c>
      <c r="H31">
        <f>(H9+H8)/(H8+H9+H15+H16+H21+H22+(H20+H14+H7)*($L$40+$L$41))</f>
        <v>0.29110436880509294</v>
      </c>
      <c r="I31" s="48">
        <f>SQRT(SUMSQ((100*(SQRT(SUMSQ(I8,I9,I15,I16,I21,I22)))/(H8+H9+H15+H16+H21+H22)),(100*(SQRT(SUMSQ(I8,I9)))/(H9+H8))))*0.01*((H8+H9)/(H8+H9+H15+H16+H21+H22))</f>
        <v>8.4096555625138791E-2</v>
      </c>
      <c r="J31">
        <f>(J9+J8)/(J8+J9+J15+J16+J21+J22+(J20+J14+J7)*($L$40+$L$41))</f>
        <v>0.22021003040118636</v>
      </c>
      <c r="K31" s="48">
        <f>SQRT(SUMSQ((100*(SQRT(SUMSQ(K8,K9,K15,K16,K21,K22)))/(J8+J9+J15+J16+J21+J22)),(100*(SQRT(SUMSQ(K8,K9)))/(J9+J8))))*0.01*((J8+J9)/(J8+J9+J15+J16+J21+J22))</f>
        <v>5.4878964995853041E-2</v>
      </c>
      <c r="L31">
        <f>(L9+L8)/(L8+L9+L15+L16+L21+L22+(L20+L14+L7)*($L$40+$L$41))</f>
        <v>8.3402000987536376E-2</v>
      </c>
      <c r="M31" s="48">
        <f>SQRT(SUMSQ((100*(SQRT(SUMSQ(M8,M9,M15,M16,M21,M22)))/(L8+L9+L15+L16+L21+L22)),(100*(SQRT(SUMSQ(M8,M9)))/(L9+L8))))*0.01*((L8+L9)/(L8+L9+L15+L16+L21+L22))</f>
        <v>1.5413395254689382E-2</v>
      </c>
      <c r="O31">
        <f>(O9+O8)/(O8+O9+O15+O16+O21+O22+(O20+O14+O7)*($L$40+$L$41))</f>
        <v>0.30908213287004077</v>
      </c>
      <c r="P31" s="48">
        <f>SQRT(SUMSQ((100*(SQRT(SUMSQ(P8,P9,P15,P16,P21,P22)))/(O8+O9+O15+O16+O21+O22)),(100*(SQRT(SUMSQ(P8,P9)))/(O9+O8))))*0.01*((O8+O9)/(O8+O9+O15+O16+O21+O22))</f>
        <v>6.4630857258203347E-2</v>
      </c>
      <c r="Q31">
        <f>(O9+O8)/(O8+O9+O15+O16+O21+O22+(O20+O14+O7)*($L$40+$L$41)+(L40+L41)*(O85+O86))</f>
        <v>0.27639997213149364</v>
      </c>
    </row>
    <row r="32" spans="1:21" x14ac:dyDescent="0.25">
      <c r="A32" s="2" t="s">
        <v>45</v>
      </c>
      <c r="B32">
        <f>B12/(B5+B12+B18+(B7+B14+B20)*$L$38)</f>
        <v>0.98378453141189803</v>
      </c>
      <c r="C32" s="48">
        <f>(SQRT(SUMSQ((100*((SQRT(SUMSQ(C5,C12,C18)))/(B5+B12+B18))),(100*C12/B12))))*(C12/(C5+C12+C18))*0.01</f>
        <v>2.6976526580952082E-2</v>
      </c>
      <c r="D32">
        <f>D12/(D5+D12+D18+(D7+D14+D20)*$L$38)</f>
        <v>0.95187694763208242</v>
      </c>
      <c r="E32" s="48">
        <f>(SQRT(SUMSQ((100*((SQRT(SUMSQ(E5,E12,E18)))/(D5+D12+D18))),(100*E12/D12))))*(E12/(E5+E12+E18))*0.01</f>
        <v>2.1356602599196219E-2</v>
      </c>
      <c r="F32">
        <f>F12/(F5+F12+F18+(F7+F14+F20)*$L$38)</f>
        <v>0.93812064381441695</v>
      </c>
      <c r="G32" s="48">
        <f>(SQRT(SUMSQ((100*((SQRT(SUMSQ(G5,G12,G18)))/(F5+F12+F18))),(100*G12/F12))))*(G12/(G5+G12+G18))*0.01</f>
        <v>3.108949815008075E-2</v>
      </c>
      <c r="H32">
        <f>H12/(H5+H12+H18+(H7+H14+H20)*$L$38)</f>
        <v>0.85459211222237319</v>
      </c>
      <c r="I32" s="48">
        <f>(SQRT(SUMSQ((100*((SQRT(SUMSQ(I5,I12,I18)))/(H5+H12+H18))),(100*I12/H12))))*(I12/(I5+I12+I18))*0.01</f>
        <v>7.427305615878653E-2</v>
      </c>
      <c r="J32">
        <f>J12/(J5+J12+J18+(J7+J14+J20)*$L$38)</f>
        <v>0.65955857259457529</v>
      </c>
      <c r="K32" s="48">
        <f>(SQRT(SUMSQ((100*((SQRT(SUMSQ(K5,K12,K18)))/(J5+J12+J18))),(100*K12/J12))))*(K12/(K5+K12+K18))*0.01</f>
        <v>4.5227082283513818E-2</v>
      </c>
      <c r="L32">
        <f>L12/(L5+L12+L18+(L7+L14+L20)*$L$38)</f>
        <v>0.34202141796737012</v>
      </c>
      <c r="M32" s="48">
        <f>(SQRT(SUMSQ((100*((SQRT(SUMSQ(M5,M12,M18)))/(L5+L12+L18))),(100*M12/L12))))*(M12/(M5+M12+M18))*0.01</f>
        <v>0.21250968241123436</v>
      </c>
      <c r="N32" t="str">
        <f>IF(V45=M32,"yes","no")</f>
        <v>no</v>
      </c>
      <c r="O32">
        <f>O12/(O5+O12+O18+(O7+O14+O20)*$L$38)</f>
        <v>0.78591494479885149</v>
      </c>
      <c r="P32" s="48">
        <f>(SQRT(SUMSQ((100*((SQRT(SUMSQ(P5,P12,P18)))/(O5+O12+O18))),(100*P12/O12))))*(P12/(P5+P12+P18))*0.01</f>
        <v>5.1780030929231627E-2</v>
      </c>
      <c r="Q32">
        <f>O12/(O5+O12+O18+(O7+O14+O20)*$L$38+(L38*(O85+O86)))</f>
        <v>0.64039543302851076</v>
      </c>
    </row>
    <row r="33" spans="1:17" x14ac:dyDescent="0.25">
      <c r="A33" s="2" t="s">
        <v>46</v>
      </c>
      <c r="B33">
        <f>B19/(B6+B13+B19+(B7+B14+B20)*$L$39)</f>
        <v>0.92905110287730919</v>
      </c>
      <c r="C33" s="48">
        <f>(SQRT(SUMSQ((100*((SQRT(SUMSQ(C6,C13,C19)))/(B6+B13+B19))),(100*C19/B19))))*(C19/(C6+C13+C19))*0.01</f>
        <v>4.9911011585233325E-2</v>
      </c>
      <c r="D33">
        <f>D19/(D6+D13+D19+(D7+D14+D20)*$L$39)</f>
        <v>0.95194805858462084</v>
      </c>
      <c r="E33" s="48">
        <f>(SQRT(SUMSQ((100*((SQRT(SUMSQ(E6,E13,E19)))/(D6+D13+D19))),(100*E19/D19))))*(E19/(E6+E13+E19))*0.01</f>
        <v>4.0004805898833089E-2</v>
      </c>
      <c r="F33">
        <f>F19/(F6+F13+F19+(F7+F14+F20)*$L$39)</f>
        <v>0.90430170732487736</v>
      </c>
      <c r="G33" s="48">
        <f>(SQRT(SUMSQ((100*((SQRT(SUMSQ(G6,G13,G19)))/(F6+F13+F19))),(100*G19/F19))))*(G19/(G6+G13+G19))*0.01</f>
        <v>5.7137851645827915E-2</v>
      </c>
      <c r="H33">
        <f>H19/(H6+H13+H19+(H7+H14+H20)*$L$39)</f>
        <v>0.83218943557543745</v>
      </c>
      <c r="I33" s="48">
        <f>(SQRT(SUMSQ((100*((SQRT(SUMSQ(I6,I13,I19)))/(H6+H13+H19))),(100*I19/H19))))*(I19/(I6+I13+I19))*0.01</f>
        <v>8.4163948854086471E-2</v>
      </c>
      <c r="J33">
        <f>J19/(J6+J13+J19+(J7+J14+J20)*$L$39)</f>
        <v>0.66147646994553766</v>
      </c>
      <c r="K33" s="48">
        <f>(SQRT(SUMSQ((100*((SQRT(SUMSQ(K6,K13,K19)))/(J6+J13+J19))),(100*K19/J19))))*(K19/(K6+K13+K19))*0.01</f>
        <v>0.10752528083276099</v>
      </c>
      <c r="L33">
        <f>L19/(L6+L13+L19+(L7+L14+L20)*$L$39)</f>
        <v>0.36107697600078398</v>
      </c>
      <c r="M33" s="48">
        <f>(SQRT(SUMSQ((100*((SQRT(SUMSQ(M6,M13,M19)))/(L6+L13+L19))),(100*M19/L19))))*(M19/(M6+M13+M19))*0.01</f>
        <v>4.9071396341896584E-2</v>
      </c>
      <c r="O33">
        <f>O19/(O6+O13+O19+(O7+O14+O20)*$L$39)</f>
        <v>0.78048727005179253</v>
      </c>
      <c r="P33" s="48">
        <f>(SQRT(SUMSQ((100*((SQRT(SUMSQ(P6,P13,P19)))/(O6+O13+O19))),(100*P19/O19))))*(P19/(P6+P13+P19))*0.01</f>
        <v>6.8881721357957656E-2</v>
      </c>
      <c r="Q33">
        <f>O19/(O6+O13+O19+(O7+O14+O20)*$L$39+L39*(O85+O86))</f>
        <v>0.64818047762431308</v>
      </c>
    </row>
    <row r="36" spans="1:17" x14ac:dyDescent="0.25">
      <c r="A36" s="41"/>
      <c r="B36" t="s">
        <v>62</v>
      </c>
    </row>
    <row r="37" spans="1:17" x14ac:dyDescent="0.25">
      <c r="A37" s="41"/>
      <c r="B37" t="s">
        <v>86</v>
      </c>
      <c r="C37" t="s">
        <v>63</v>
      </c>
      <c r="D37" t="s">
        <v>87</v>
      </c>
      <c r="E37" t="s">
        <v>63</v>
      </c>
      <c r="G37" t="s">
        <v>88</v>
      </c>
      <c r="I37" t="s">
        <v>89</v>
      </c>
      <c r="L37" t="str">
        <f>G37</f>
        <v>Cell Ratio</v>
      </c>
    </row>
    <row r="38" spans="1:17" x14ac:dyDescent="0.25">
      <c r="A38" s="41" t="s">
        <v>45</v>
      </c>
      <c r="B38">
        <f t="shared" ref="B38:E41" si="2">I83</f>
        <v>17.20460881164631</v>
      </c>
      <c r="C38">
        <f t="shared" si="2"/>
        <v>0.77460932880799727</v>
      </c>
      <c r="D38">
        <f t="shared" si="2"/>
        <v>26.530858916552987</v>
      </c>
      <c r="E38">
        <f t="shared" si="2"/>
        <v>1.1968125620252765</v>
      </c>
      <c r="G38">
        <f>B38/SUM(B$38:B$41)</f>
        <v>0.61999012577357027</v>
      </c>
      <c r="H38">
        <f>SQRT((SQRT(SUMSQ(C$38:C$41))/SUM(B$38:B$41))^2+(C38/B38)^2)*G38</f>
        <v>3.7460227265976122E-2</v>
      </c>
      <c r="I38">
        <f>D38/SUM(D$38:D$41)</f>
        <v>0.60540055328175479</v>
      </c>
      <c r="J38">
        <f>SQRT((SQRT(SUMSQ(E$38:E$41))/SUM(D$38:D$41))^2+(E38/D38)^2)*I38</f>
        <v>4.0548211591103452E-2</v>
      </c>
      <c r="L38" s="42">
        <f>G38</f>
        <v>0.61999012577357027</v>
      </c>
      <c r="M38">
        <f>H38</f>
        <v>3.7460227265976122E-2</v>
      </c>
    </row>
    <row r="39" spans="1:17" x14ac:dyDescent="0.25">
      <c r="A39" s="41" t="s">
        <v>46</v>
      </c>
      <c r="B39">
        <f t="shared" si="2"/>
        <v>9.134457838710528</v>
      </c>
      <c r="C39">
        <f t="shared" si="2"/>
        <v>0.68923656996908955</v>
      </c>
      <c r="D39">
        <f t="shared" si="2"/>
        <v>14.542925061114264</v>
      </c>
      <c r="E39">
        <f t="shared" si="2"/>
        <v>1.1351347177711766</v>
      </c>
      <c r="G39">
        <f>B39/SUM(B$38:B$41)</f>
        <v>0.32917189378126849</v>
      </c>
      <c r="H39">
        <f>SQRT((SQRT(SUMSQ(C$38:C$41))/SUM(B$38:B$41))^2+(C39/B39)^2)*G39</f>
        <v>2.8157086970609885E-2</v>
      </c>
      <c r="I39">
        <f>D39/SUM(D$38:D$41)</f>
        <v>0.33185110614117908</v>
      </c>
      <c r="J39">
        <f>SQRT((SQRT(SUMSQ(E$38:E$41))/SUM(D$38:D$41))^2+(E39/D39)^2)*I39</f>
        <v>3.0673337292450475E-2</v>
      </c>
      <c r="L39" s="42">
        <f t="shared" ref="L39:M41" si="3">G39</f>
        <v>0.32917189378126849</v>
      </c>
      <c r="M39">
        <f t="shared" si="3"/>
        <v>2.8157086970609885E-2</v>
      </c>
    </row>
    <row r="40" spans="1:17" x14ac:dyDescent="0.25">
      <c r="A40" s="41" t="s">
        <v>47</v>
      </c>
      <c r="B40">
        <f t="shared" si="2"/>
        <v>1.0671814756737956</v>
      </c>
      <c r="C40">
        <f t="shared" si="2"/>
        <v>0.40672217463430982</v>
      </c>
      <c r="D40">
        <f t="shared" si="2"/>
        <v>1.9616727007251407</v>
      </c>
      <c r="E40">
        <f t="shared" si="2"/>
        <v>0.91134720530735536</v>
      </c>
      <c r="G40">
        <f>B40/SUM(B$38:B$41)</f>
        <v>3.8457252040414648E-2</v>
      </c>
      <c r="H40">
        <f>SQRT((SQRT(SUMSQ(C$38:C$41))/SUM(B$38:B$41))^2+(C40/B40)^2)*G40</f>
        <v>1.4738440721406751E-2</v>
      </c>
      <c r="I40">
        <f>D40/SUM(D$38:D$41)</f>
        <v>4.476288318113044E-2</v>
      </c>
      <c r="J40">
        <f>SQRT((SQRT(SUMSQ(E$38:E$41))/SUM(D$38:D$41))^2+(E40/D40)^2)*I40</f>
        <v>2.0913536040545844E-2</v>
      </c>
      <c r="L40" s="42">
        <f t="shared" si="3"/>
        <v>3.8457252040414648E-2</v>
      </c>
      <c r="M40">
        <f t="shared" si="3"/>
        <v>1.4738440721406751E-2</v>
      </c>
    </row>
    <row r="41" spans="1:17" x14ac:dyDescent="0.25">
      <c r="A41" s="41" t="s">
        <v>48</v>
      </c>
      <c r="B41">
        <f t="shared" si="2"/>
        <v>0.34356287326533508</v>
      </c>
      <c r="C41">
        <f t="shared" si="2"/>
        <v>9.8655434104116299E-2</v>
      </c>
      <c r="D41">
        <f t="shared" si="2"/>
        <v>0.78818829968788284</v>
      </c>
      <c r="E41">
        <f t="shared" si="2"/>
        <v>1.0750967249854178</v>
      </c>
      <c r="G41">
        <f>B41/SUM(B$38:B$41)</f>
        <v>1.2380728404746667E-2</v>
      </c>
      <c r="H41">
        <f>SQRT((SQRT(SUMSQ(C$38:C$41))/SUM(B$38:B$41))^2+(C41/B41)^2)*G41</f>
        <v>3.5900044329033169E-3</v>
      </c>
      <c r="I41">
        <f>D41/SUM(D$38:D$41)</f>
        <v>1.7985457395935898E-2</v>
      </c>
      <c r="J41">
        <f>SQRT((SQRT(SUMSQ(E$38:E$41))/SUM(D$38:D$41))^2+(E41/D41)^2)*I41</f>
        <v>2.4548497934571485E-2</v>
      </c>
      <c r="L41" s="42">
        <f t="shared" si="3"/>
        <v>1.2380728404746667E-2</v>
      </c>
      <c r="M41">
        <f t="shared" si="3"/>
        <v>3.5900044329033169E-3</v>
      </c>
    </row>
    <row r="44" spans="1:17" x14ac:dyDescent="0.25">
      <c r="A44" s="53" t="s">
        <v>75</v>
      </c>
      <c r="B44" s="54">
        <f>B25</f>
        <v>1</v>
      </c>
      <c r="C44" s="55">
        <f>D25</f>
        <v>2</v>
      </c>
      <c r="D44" s="55">
        <f>F25</f>
        <v>2.8</v>
      </c>
      <c r="E44" s="55">
        <f>H25</f>
        <v>4</v>
      </c>
      <c r="F44" s="55">
        <f>J25</f>
        <v>5.6</v>
      </c>
      <c r="G44" s="55">
        <f>L25</f>
        <v>8</v>
      </c>
    </row>
    <row r="45" spans="1:17" x14ac:dyDescent="0.25">
      <c r="A45" s="2" t="str">
        <f>A26</f>
        <v>Insulators</v>
      </c>
      <c r="B45" s="51">
        <f>B26*100</f>
        <v>86.744648548100685</v>
      </c>
      <c r="C45" s="52">
        <f>D26*100</f>
        <v>96.381366796311113</v>
      </c>
      <c r="D45" s="52">
        <f>F26*100</f>
        <v>98.911649792877611</v>
      </c>
      <c r="E45" s="52">
        <f>H26*100</f>
        <v>70.384157854526151</v>
      </c>
      <c r="F45" s="52">
        <f>J26*100</f>
        <v>77.78452195030323</v>
      </c>
      <c r="G45" s="52">
        <f>L26*100</f>
        <v>64.24278542946729</v>
      </c>
      <c r="I45" s="52"/>
      <c r="J45" s="52">
        <f>O26*100</f>
        <v>82.574957160492019</v>
      </c>
    </row>
    <row r="46" spans="1:17" x14ac:dyDescent="0.25">
      <c r="A46" s="2" t="str">
        <f>A27</f>
        <v>Cathode</v>
      </c>
      <c r="B46" s="51">
        <f>B27*100</f>
        <v>94.582515916575588</v>
      </c>
      <c r="C46" s="52">
        <f>D27*100</f>
        <v>96.647891250311773</v>
      </c>
      <c r="D46" s="52">
        <f>F27*100</f>
        <v>94.092324272288522</v>
      </c>
      <c r="E46" s="52">
        <f>H27*100</f>
        <v>90.871513308796253</v>
      </c>
      <c r="F46" s="52">
        <f>J27*100</f>
        <v>87.990986464580558</v>
      </c>
      <c r="G46" s="52">
        <f>L27*100</f>
        <v>81.453518708782894</v>
      </c>
      <c r="J46" s="52">
        <f>O27*100</f>
        <v>91.009787887509503</v>
      </c>
      <c r="L46">
        <f>0.87*J46</f>
        <v>79.178515462133262</v>
      </c>
    </row>
    <row r="47" spans="1:17" x14ac:dyDescent="0.25">
      <c r="A47" s="2" t="str">
        <f>A28</f>
        <v>Anode</v>
      </c>
      <c r="B47" s="51">
        <f>B28*100</f>
        <v>96.474683440668812</v>
      </c>
      <c r="C47" s="52">
        <f>D28*100</f>
        <v>92.671986786295093</v>
      </c>
      <c r="D47" s="52">
        <f>F28*100</f>
        <v>87.032485994524635</v>
      </c>
      <c r="E47" s="52">
        <f>H28*100</f>
        <v>82.072639777756422</v>
      </c>
      <c r="F47" s="52">
        <f>J28*100</f>
        <v>62.210729405402766</v>
      </c>
      <c r="G47" s="52">
        <f>L28*100</f>
        <v>36.955939480107602</v>
      </c>
      <c r="J47" s="52">
        <f>O28*100</f>
        <v>72.116329436351293</v>
      </c>
    </row>
    <row r="48" spans="1:17" x14ac:dyDescent="0.25">
      <c r="B48" s="52"/>
      <c r="C48" s="52"/>
      <c r="D48" s="52"/>
      <c r="E48" s="52"/>
      <c r="F48" s="52"/>
      <c r="G48" s="52"/>
    </row>
    <row r="49" spans="1:12" x14ac:dyDescent="0.25">
      <c r="A49" s="53" t="s">
        <v>78</v>
      </c>
      <c r="B49" s="54">
        <f>B30</f>
        <v>1</v>
      </c>
      <c r="C49" s="55">
        <f>D30</f>
        <v>2</v>
      </c>
      <c r="D49" s="55">
        <f>F30</f>
        <v>2.8</v>
      </c>
      <c r="E49" s="55">
        <f>H30</f>
        <v>4</v>
      </c>
      <c r="F49" s="55">
        <f>J30</f>
        <v>5.6</v>
      </c>
      <c r="G49" s="55">
        <f>L30</f>
        <v>8</v>
      </c>
    </row>
    <row r="50" spans="1:12" x14ac:dyDescent="0.25">
      <c r="A50" s="2" t="str">
        <f>A31</f>
        <v>Insulators</v>
      </c>
      <c r="B50" s="51">
        <f>B31*100</f>
        <v>70.951872389403462</v>
      </c>
      <c r="C50" s="52">
        <f>D31*100</f>
        <v>67.257059459573412</v>
      </c>
      <c r="D50" s="52">
        <f>F31*100</f>
        <v>44.380855730346497</v>
      </c>
      <c r="E50" s="52">
        <f>H31*100</f>
        <v>29.110436880509294</v>
      </c>
      <c r="F50" s="52">
        <f>J31*100</f>
        <v>22.021003040118636</v>
      </c>
      <c r="G50" s="52">
        <f>L31*100</f>
        <v>8.3402000987536375</v>
      </c>
      <c r="J50" s="52">
        <f>O31*100</f>
        <v>30.908213287004077</v>
      </c>
    </row>
    <row r="51" spans="1:12" x14ac:dyDescent="0.25">
      <c r="A51" s="2" t="str">
        <f>A32</f>
        <v>Cathode</v>
      </c>
      <c r="B51" s="51">
        <f t="shared" ref="B51:B52" si="4">B32*100</f>
        <v>98.378453141189809</v>
      </c>
      <c r="C51" s="52">
        <f>D32*100</f>
        <v>95.187694763208242</v>
      </c>
      <c r="D51" s="52">
        <f>F32*100</f>
        <v>93.812064381441701</v>
      </c>
      <c r="E51" s="52">
        <f>H32*100</f>
        <v>85.459211222237315</v>
      </c>
      <c r="F51" s="52">
        <f>J32*100</f>
        <v>65.955857259457531</v>
      </c>
      <c r="G51" s="52">
        <f>L32*100</f>
        <v>34.20214179673701</v>
      </c>
      <c r="J51" s="52">
        <f>O32*100</f>
        <v>78.591494479885142</v>
      </c>
      <c r="L51">
        <f>0.87*J51</f>
        <v>68.374600197500072</v>
      </c>
    </row>
    <row r="52" spans="1:12" x14ac:dyDescent="0.25">
      <c r="A52" s="2" t="str">
        <f>A33</f>
        <v>Anode</v>
      </c>
      <c r="B52" s="51">
        <f t="shared" si="4"/>
        <v>92.905110287730921</v>
      </c>
      <c r="C52" s="52">
        <f>D33*100</f>
        <v>95.19480585846209</v>
      </c>
      <c r="D52" s="52">
        <f>F33*100</f>
        <v>90.430170732487738</v>
      </c>
      <c r="E52" s="52">
        <f>H33*100</f>
        <v>83.218943557543739</v>
      </c>
      <c r="F52" s="52">
        <f>J33*100</f>
        <v>66.147646994553767</v>
      </c>
      <c r="G52" s="52">
        <f>L33*100</f>
        <v>36.107697600078396</v>
      </c>
      <c r="J52" s="52">
        <f>O33*100</f>
        <v>78.048727005179259</v>
      </c>
    </row>
    <row r="54" spans="1:12" x14ac:dyDescent="0.25">
      <c r="A54" s="53" t="s">
        <v>117</v>
      </c>
      <c r="B54" s="56">
        <f>C25</f>
        <v>1</v>
      </c>
      <c r="C54" s="56">
        <f>E25</f>
        <v>2</v>
      </c>
      <c r="D54" s="56">
        <f>G25</f>
        <v>2.8</v>
      </c>
      <c r="E54" s="56">
        <f>I25</f>
        <v>4</v>
      </c>
      <c r="F54" s="56">
        <f>K25</f>
        <v>5.6</v>
      </c>
      <c r="G54" s="56">
        <f>M25</f>
        <v>8</v>
      </c>
    </row>
    <row r="55" spans="1:12" x14ac:dyDescent="0.25">
      <c r="A55" s="2" t="str">
        <f>A26&amp;"-err"</f>
        <v>Insulators-err</v>
      </c>
      <c r="B55" s="40">
        <f>C26*100</f>
        <v>12.198374244977828</v>
      </c>
      <c r="C55" s="40">
        <f>E26*100</f>
        <v>52.808604472067714</v>
      </c>
      <c r="D55" s="40">
        <f>G26*100</f>
        <v>7.4350780753224894</v>
      </c>
      <c r="E55" s="40">
        <f>I26*100</f>
        <v>9.5008196927029616</v>
      </c>
      <c r="F55" s="40">
        <f>K26*100</f>
        <v>26.56891771629688</v>
      </c>
      <c r="G55" s="40">
        <f>M26*100</f>
        <v>34.401911732185816</v>
      </c>
    </row>
    <row r="56" spans="1:12" x14ac:dyDescent="0.25">
      <c r="A56" s="2" t="str">
        <f>A27&amp;"-err"</f>
        <v>Cathode-err</v>
      </c>
      <c r="B56" s="40">
        <f t="shared" ref="B56:B57" si="5">C27*100</f>
        <v>5.163678741100389</v>
      </c>
      <c r="C56" s="40">
        <f>E27*100</f>
        <v>1.9350112837430009</v>
      </c>
      <c r="D56" s="40">
        <f>G27*100</f>
        <v>3.5790736438407849</v>
      </c>
      <c r="E56" s="40">
        <f>I27*100</f>
        <v>5.6702809142810402</v>
      </c>
      <c r="F56" s="40">
        <f>K27*100</f>
        <v>5.1558312969980822</v>
      </c>
      <c r="G56" s="40">
        <f>M27*100</f>
        <v>16.943343626844175</v>
      </c>
    </row>
    <row r="57" spans="1:12" x14ac:dyDescent="0.25">
      <c r="A57" s="2" t="str">
        <f>A28&amp;"-err"</f>
        <v>Anode-err</v>
      </c>
      <c r="B57" s="40">
        <f t="shared" si="5"/>
        <v>9.0084810471839027</v>
      </c>
      <c r="C57" s="40">
        <f>E28*100</f>
        <v>4.9403745332064766</v>
      </c>
      <c r="D57" s="40">
        <f>G28*100</f>
        <v>6.657344982119529</v>
      </c>
      <c r="E57" s="40">
        <f>I28*100</f>
        <v>8.0507961282812968</v>
      </c>
      <c r="F57" s="40">
        <f>K28*100</f>
        <v>6.4189209275303654</v>
      </c>
      <c r="G57" s="40">
        <f>M28*100</f>
        <v>1.9019886914359698</v>
      </c>
    </row>
    <row r="59" spans="1:12" x14ac:dyDescent="0.25">
      <c r="A59" s="53" t="s">
        <v>118</v>
      </c>
      <c r="B59" s="56">
        <f>C30</f>
        <v>1</v>
      </c>
      <c r="C59" s="56">
        <f>E30</f>
        <v>2</v>
      </c>
      <c r="D59" s="56">
        <f>G30</f>
        <v>2.8</v>
      </c>
      <c r="E59" s="56">
        <f>I30</f>
        <v>4</v>
      </c>
      <c r="F59" s="56">
        <f>K30</f>
        <v>5.6</v>
      </c>
      <c r="G59" s="56">
        <f>M30</f>
        <v>8</v>
      </c>
    </row>
    <row r="60" spans="1:12" x14ac:dyDescent="0.25">
      <c r="A60" s="2" t="str">
        <f>A31&amp;"-err"</f>
        <v>Insulators-err</v>
      </c>
      <c r="B60" s="40">
        <f>C31*100</f>
        <v>10.27959003396802</v>
      </c>
      <c r="C60" s="40">
        <f>E31*100</f>
        <v>34.813364283362944</v>
      </c>
      <c r="D60" s="40">
        <f>G31*100</f>
        <v>3.2879275442264424</v>
      </c>
      <c r="E60" s="40">
        <f>I31*100</f>
        <v>8.4096555625138798</v>
      </c>
      <c r="F60" s="40">
        <f>K31*100</f>
        <v>5.4878964995853039</v>
      </c>
      <c r="G60" s="40">
        <f>M31*100</f>
        <v>1.5413395254689382</v>
      </c>
    </row>
    <row r="61" spans="1:12" x14ac:dyDescent="0.25">
      <c r="A61" s="2" t="str">
        <f>A32&amp;"-err"</f>
        <v>Cathode-err</v>
      </c>
      <c r="B61" s="40">
        <f t="shared" ref="B61:B62" si="6">C32*100</f>
        <v>2.6976526580952083</v>
      </c>
      <c r="C61" s="40">
        <f>E32*100</f>
        <v>2.1356602599196219</v>
      </c>
      <c r="D61" s="40">
        <f>G32*100</f>
        <v>3.1089498150080752</v>
      </c>
      <c r="E61" s="40">
        <f>I32*100</f>
        <v>7.4273056158786526</v>
      </c>
      <c r="F61" s="40">
        <f>K32*100</f>
        <v>4.522708228351382</v>
      </c>
      <c r="G61" s="40">
        <f>M32*100</f>
        <v>21.250968241123434</v>
      </c>
    </row>
    <row r="62" spans="1:12" x14ac:dyDescent="0.25">
      <c r="A62" s="2" t="str">
        <f>A33&amp;"-err"</f>
        <v>Anode-err</v>
      </c>
      <c r="B62" s="40">
        <f t="shared" si="6"/>
        <v>4.9911011585233327</v>
      </c>
      <c r="C62" s="40">
        <f>E33*100</f>
        <v>4.0004805898833089</v>
      </c>
      <c r="D62" s="40">
        <f>G33*100</f>
        <v>5.7137851645827915</v>
      </c>
      <c r="E62" s="40">
        <f>I33*100</f>
        <v>8.4163948854086463</v>
      </c>
      <c r="F62" s="40">
        <f>K33*100</f>
        <v>10.752528083276099</v>
      </c>
      <c r="G62" s="40">
        <f>M33*100</f>
        <v>4.907139634189658</v>
      </c>
    </row>
    <row r="64" spans="1:12" x14ac:dyDescent="0.25">
      <c r="A64" s="2" t="str">
        <f t="array" ref="A64:D70">TRANSPOSE(A44:G47)</f>
        <v>Grade</v>
      </c>
      <c r="B64" t="str">
        <v>Insulators</v>
      </c>
      <c r="C64" t="str">
        <v>Cathode</v>
      </c>
      <c r="D64" t="str">
        <v>Anode</v>
      </c>
      <c r="E64" t="str">
        <f t="array" ref="E64:G70">TRANSPOSE(A55:G57)</f>
        <v>Insulators-err</v>
      </c>
      <c r="F64" t="str">
        <v>Cathode-err</v>
      </c>
      <c r="G64" t="str">
        <v>Anode-err</v>
      </c>
      <c r="I64" t="s">
        <v>227</v>
      </c>
      <c r="J64" t="s">
        <v>77</v>
      </c>
      <c r="K64" t="s">
        <v>45</v>
      </c>
      <c r="L64" t="s">
        <v>46</v>
      </c>
    </row>
    <row r="65" spans="1:12" x14ac:dyDescent="0.25">
      <c r="A65" s="2">
        <v>1</v>
      </c>
      <c r="B65" s="40">
        <v>86.744648548100685</v>
      </c>
      <c r="C65" s="40">
        <v>94.582515916575588</v>
      </c>
      <c r="D65" s="40">
        <v>96.474683440668812</v>
      </c>
      <c r="E65" s="40">
        <v>12.198374244977828</v>
      </c>
      <c r="F65" s="40">
        <v>5.163678741100389</v>
      </c>
      <c r="G65" s="40">
        <v>9.0084810471839027</v>
      </c>
      <c r="I65" s="96" t="s">
        <v>224</v>
      </c>
      <c r="J65" t="str">
        <f>ROUND(B65,1)&amp;" ± "&amp;ROUND(E65,1)</f>
        <v>86.7 ± 12.2</v>
      </c>
      <c r="K65" t="str">
        <f>ROUND(C65,1)&amp;" ± "&amp;ROUND(F65,1)</f>
        <v>94.6 ± 5.2</v>
      </c>
      <c r="L65" t="str">
        <f>ROUND(D65,1)&amp;" ± "&amp;ROUND(G65,1)</f>
        <v>96.5 ± 9</v>
      </c>
    </row>
    <row r="66" spans="1:12" x14ac:dyDescent="0.25">
      <c r="A66" s="2">
        <v>2</v>
      </c>
      <c r="B66" s="40">
        <v>96.381366796311113</v>
      </c>
      <c r="C66" s="40">
        <v>96.647891250311773</v>
      </c>
      <c r="D66" s="40">
        <v>92.671986786295093</v>
      </c>
      <c r="E66" s="40">
        <v>52.808604472067714</v>
      </c>
      <c r="F66" s="40">
        <v>1.9350112837430009</v>
      </c>
      <c r="G66" s="40">
        <v>4.9403745332064766</v>
      </c>
      <c r="I66" s="44" t="s">
        <v>223</v>
      </c>
      <c r="J66" t="str">
        <f t="shared" ref="J66:L70" si="7">ROUND(B66,1)&amp;" ± "&amp;ROUND(E66,1)</f>
        <v>96.4 ± 52.8</v>
      </c>
      <c r="K66" t="str">
        <f t="shared" si="7"/>
        <v>96.6 ± 1.9</v>
      </c>
      <c r="L66" t="str">
        <f t="shared" si="7"/>
        <v>92.7 ± 4.9</v>
      </c>
    </row>
    <row r="67" spans="1:12" x14ac:dyDescent="0.25">
      <c r="A67" s="2">
        <v>2.8</v>
      </c>
      <c r="B67" s="40">
        <v>98.911649792877611</v>
      </c>
      <c r="C67" s="40">
        <v>94.092324272288522</v>
      </c>
      <c r="D67" s="40">
        <v>87.032485994524635</v>
      </c>
      <c r="E67" s="40">
        <v>7.4350780753224894</v>
      </c>
      <c r="F67" s="40">
        <v>3.5790736438407849</v>
      </c>
      <c r="G67" s="40">
        <v>6.657344982119529</v>
      </c>
      <c r="I67" s="44" t="s">
        <v>222</v>
      </c>
      <c r="J67" t="str">
        <f t="shared" si="7"/>
        <v>98.9 ± 7.4</v>
      </c>
      <c r="K67" t="str">
        <f t="shared" si="7"/>
        <v>94.1 ± 3.6</v>
      </c>
      <c r="L67" t="str">
        <f t="shared" si="7"/>
        <v>87 ± 6.7</v>
      </c>
    </row>
    <row r="68" spans="1:12" x14ac:dyDescent="0.25">
      <c r="A68" s="2">
        <v>4</v>
      </c>
      <c r="B68" s="40">
        <v>70.384157854526151</v>
      </c>
      <c r="C68" s="40">
        <v>90.871513308796253</v>
      </c>
      <c r="D68" s="40">
        <v>82.072639777756422</v>
      </c>
      <c r="E68" s="40">
        <v>9.5008196927029616</v>
      </c>
      <c r="F68" s="40">
        <v>5.6702809142810402</v>
      </c>
      <c r="G68" s="40">
        <v>8.0507961282812968</v>
      </c>
      <c r="I68" s="44" t="s">
        <v>221</v>
      </c>
      <c r="J68" t="str">
        <f t="shared" si="7"/>
        <v>70.4 ± 9.5</v>
      </c>
      <c r="K68" t="str">
        <f t="shared" si="7"/>
        <v>90.9 ± 5.7</v>
      </c>
      <c r="L68" t="str">
        <f t="shared" si="7"/>
        <v>82.1 ± 8.1</v>
      </c>
    </row>
    <row r="69" spans="1:12" x14ac:dyDescent="0.25">
      <c r="A69" s="2">
        <v>5.6</v>
      </c>
      <c r="B69" s="40">
        <v>77.78452195030323</v>
      </c>
      <c r="C69" s="40">
        <v>87.990986464580558</v>
      </c>
      <c r="D69" s="40">
        <v>62.210729405402766</v>
      </c>
      <c r="E69" s="40">
        <v>26.56891771629688</v>
      </c>
      <c r="F69" s="40">
        <v>5.1558312969980822</v>
      </c>
      <c r="G69" s="40">
        <v>6.4189209275303654</v>
      </c>
      <c r="I69" s="44" t="s">
        <v>220</v>
      </c>
      <c r="J69" t="str">
        <f t="shared" si="7"/>
        <v>77.8 ± 26.6</v>
      </c>
      <c r="K69" t="str">
        <f t="shared" si="7"/>
        <v>88 ± 5.2</v>
      </c>
      <c r="L69" t="str">
        <f t="shared" si="7"/>
        <v>62.2 ± 6.4</v>
      </c>
    </row>
    <row r="70" spans="1:12" x14ac:dyDescent="0.25">
      <c r="A70" s="2">
        <v>8</v>
      </c>
      <c r="B70" s="40">
        <v>64.24278542946729</v>
      </c>
      <c r="C70" s="40">
        <v>81.453518708782894</v>
      </c>
      <c r="D70" s="40">
        <v>36.955939480107602</v>
      </c>
      <c r="E70" s="40">
        <v>34.401911732185816</v>
      </c>
      <c r="F70" s="40">
        <v>16.943343626844175</v>
      </c>
      <c r="G70" s="40">
        <v>1.9019886914359698</v>
      </c>
      <c r="I70" s="44" t="s">
        <v>219</v>
      </c>
      <c r="J70" t="str">
        <f t="shared" si="7"/>
        <v>64.2 ± 34.4</v>
      </c>
      <c r="K70" t="str">
        <f t="shared" si="7"/>
        <v>81.5 ± 16.9</v>
      </c>
      <c r="L70" t="str">
        <f t="shared" si="7"/>
        <v>37 ± 1.9</v>
      </c>
    </row>
    <row r="72" spans="1:12" x14ac:dyDescent="0.25">
      <c r="A72" s="2" t="str">
        <f t="array" ref="A72:D78">TRANSPOSE(A49:G52)</f>
        <v>Recovery</v>
      </c>
      <c r="B72" t="str">
        <v>Insulators</v>
      </c>
      <c r="C72" t="str">
        <v>Cathode</v>
      </c>
      <c r="D72" t="str">
        <v>Anode</v>
      </c>
      <c r="E72" t="str">
        <f t="array" ref="E72:G78">TRANSPOSE(A60:G62)</f>
        <v>Insulators-err</v>
      </c>
      <c r="F72" t="str">
        <v>Cathode-err</v>
      </c>
      <c r="G72" t="str">
        <v>Anode-err</v>
      </c>
      <c r="I72" t="s">
        <v>227</v>
      </c>
      <c r="J72" t="s">
        <v>77</v>
      </c>
      <c r="K72" t="s">
        <v>45</v>
      </c>
      <c r="L72" t="s">
        <v>46</v>
      </c>
    </row>
    <row r="73" spans="1:12" x14ac:dyDescent="0.25">
      <c r="A73" s="2">
        <v>1</v>
      </c>
      <c r="B73" s="40">
        <v>70.951872389403462</v>
      </c>
      <c r="C73" s="40">
        <v>98.378453141189809</v>
      </c>
      <c r="D73" s="40">
        <v>92.905110287730921</v>
      </c>
      <c r="E73" s="40">
        <v>10.27959003396802</v>
      </c>
      <c r="F73" s="40">
        <v>2.6976526580952083</v>
      </c>
      <c r="G73" s="40">
        <v>4.9911011585233327</v>
      </c>
      <c r="I73" s="96" t="s">
        <v>224</v>
      </c>
      <c r="J73" t="str">
        <f>ROUND(B73,1)&amp;" ± "&amp;ROUND(E73,1)</f>
        <v>71 ± 10.3</v>
      </c>
      <c r="K73" t="str">
        <f>ROUND(C73,1)&amp;" ± "&amp;ROUND(F73,1)</f>
        <v>98.4 ± 2.7</v>
      </c>
      <c r="L73" t="str">
        <f>ROUND(D73,1)&amp;" ± "&amp;ROUND(G73,1)</f>
        <v>92.9 ± 5</v>
      </c>
    </row>
    <row r="74" spans="1:12" x14ac:dyDescent="0.25">
      <c r="A74" s="2">
        <v>2</v>
      </c>
      <c r="B74" s="40">
        <v>67.257059459573412</v>
      </c>
      <c r="C74" s="40">
        <v>95.187694763208242</v>
      </c>
      <c r="D74" s="40">
        <v>95.19480585846209</v>
      </c>
      <c r="E74" s="40">
        <v>34.813364283362944</v>
      </c>
      <c r="F74" s="40">
        <v>2.1356602599196219</v>
      </c>
      <c r="G74" s="40">
        <v>4.0004805898833089</v>
      </c>
      <c r="I74" s="44" t="s">
        <v>223</v>
      </c>
      <c r="J74" t="str">
        <f t="shared" ref="J74:L78" si="8">ROUND(B74,1)&amp;" ± "&amp;ROUND(E74,1)</f>
        <v>67.3 ± 34.8</v>
      </c>
      <c r="K74" t="str">
        <f t="shared" si="8"/>
        <v>95.2 ± 2.1</v>
      </c>
      <c r="L74" t="str">
        <f t="shared" si="8"/>
        <v>95.2 ± 4</v>
      </c>
    </row>
    <row r="75" spans="1:12" x14ac:dyDescent="0.25">
      <c r="A75" s="2">
        <v>2.8</v>
      </c>
      <c r="B75" s="40">
        <v>44.380855730346497</v>
      </c>
      <c r="C75" s="40">
        <v>93.812064381441701</v>
      </c>
      <c r="D75" s="40">
        <v>90.430170732487738</v>
      </c>
      <c r="E75" s="40">
        <v>3.2879275442264424</v>
      </c>
      <c r="F75" s="40">
        <v>3.1089498150080752</v>
      </c>
      <c r="G75" s="40">
        <v>5.7137851645827915</v>
      </c>
      <c r="I75" s="44" t="s">
        <v>222</v>
      </c>
      <c r="J75" t="str">
        <f t="shared" si="8"/>
        <v>44.4 ± 3.3</v>
      </c>
      <c r="K75" t="str">
        <f t="shared" si="8"/>
        <v>93.8 ± 3.1</v>
      </c>
      <c r="L75" t="str">
        <f t="shared" si="8"/>
        <v>90.4 ± 5.7</v>
      </c>
    </row>
    <row r="76" spans="1:12" x14ac:dyDescent="0.25">
      <c r="A76" s="2">
        <v>4</v>
      </c>
      <c r="B76" s="40">
        <v>29.110436880509294</v>
      </c>
      <c r="C76" s="40">
        <v>85.459211222237315</v>
      </c>
      <c r="D76" s="40">
        <v>83.218943557543739</v>
      </c>
      <c r="E76" s="40">
        <v>8.4096555625138798</v>
      </c>
      <c r="F76" s="40">
        <v>7.4273056158786526</v>
      </c>
      <c r="G76" s="40">
        <v>8.4163948854086463</v>
      </c>
      <c r="I76" s="44" t="s">
        <v>221</v>
      </c>
      <c r="J76" t="str">
        <f t="shared" si="8"/>
        <v>29.1 ± 8.4</v>
      </c>
      <c r="K76" t="str">
        <f t="shared" si="8"/>
        <v>85.5 ± 7.4</v>
      </c>
      <c r="L76" t="str">
        <f t="shared" si="8"/>
        <v>83.2 ± 8.4</v>
      </c>
    </row>
    <row r="77" spans="1:12" x14ac:dyDescent="0.25">
      <c r="A77" s="2">
        <v>5.6</v>
      </c>
      <c r="B77" s="40">
        <v>22.021003040118636</v>
      </c>
      <c r="C77" s="40">
        <v>65.955857259457531</v>
      </c>
      <c r="D77" s="40">
        <v>66.147646994553767</v>
      </c>
      <c r="E77" s="40">
        <v>5.4878964995853039</v>
      </c>
      <c r="F77" s="40">
        <v>4.522708228351382</v>
      </c>
      <c r="G77" s="40">
        <v>10.752528083276099</v>
      </c>
      <c r="I77" s="44" t="s">
        <v>220</v>
      </c>
      <c r="J77" t="str">
        <f t="shared" si="8"/>
        <v>22 ± 5.5</v>
      </c>
      <c r="K77" t="str">
        <f t="shared" si="8"/>
        <v>66 ± 4.5</v>
      </c>
      <c r="L77" t="str">
        <f t="shared" si="8"/>
        <v>66.1 ± 10.8</v>
      </c>
    </row>
    <row r="78" spans="1:12" x14ac:dyDescent="0.25">
      <c r="A78" s="2">
        <v>8</v>
      </c>
      <c r="B78" s="40">
        <v>8.3402000987536375</v>
      </c>
      <c r="C78" s="40">
        <v>34.20214179673701</v>
      </c>
      <c r="D78" s="40">
        <v>36.107697600078396</v>
      </c>
      <c r="E78" s="40">
        <v>1.5413395254689382</v>
      </c>
      <c r="F78" s="40">
        <v>21.250968241123434</v>
      </c>
      <c r="G78" s="40">
        <v>4.907139634189658</v>
      </c>
      <c r="I78" s="44" t="s">
        <v>219</v>
      </c>
      <c r="J78" t="str">
        <f t="shared" si="8"/>
        <v>8.3 ± 1.5</v>
      </c>
      <c r="K78" t="str">
        <f t="shared" si="8"/>
        <v>34.2 ± 21.3</v>
      </c>
      <c r="L78" t="str">
        <f t="shared" si="8"/>
        <v>36.1 ± 4.9</v>
      </c>
    </row>
    <row r="82" spans="1:23" ht="15.75" thickBot="1" x14ac:dyDescent="0.3">
      <c r="B82" t="s">
        <v>57</v>
      </c>
      <c r="C82" t="s">
        <v>37</v>
      </c>
      <c r="D82" t="s">
        <v>58</v>
      </c>
      <c r="E82" s="16" t="s">
        <v>59</v>
      </c>
      <c r="F82" t="s">
        <v>60</v>
      </c>
      <c r="G82" t="s">
        <v>61</v>
      </c>
      <c r="I82" t="s">
        <v>119</v>
      </c>
      <c r="J82" t="s">
        <v>63</v>
      </c>
      <c r="K82" t="s">
        <v>64</v>
      </c>
      <c r="L82" t="s">
        <v>63</v>
      </c>
      <c r="N82" t="s">
        <v>120</v>
      </c>
      <c r="O82">
        <f>O3</f>
        <v>69.38351522381555</v>
      </c>
      <c r="Q82" t="s">
        <v>121</v>
      </c>
    </row>
    <row r="83" spans="1:23" ht="15.75" thickBot="1" x14ac:dyDescent="0.3">
      <c r="A83" s="2" t="str">
        <f>'R0025_Gen1_Liberation'!A18</f>
        <v>Cathode</v>
      </c>
      <c r="B83">
        <f>'R0025_Gen1_Liberation'!D18</f>
        <v>0.48695066509513396</v>
      </c>
      <c r="C83">
        <f>B83*100</f>
        <v>48.695066509513396</v>
      </c>
      <c r="D83">
        <f>'R0025_Gen1_Liberation'!F18*100</f>
        <v>0.24698144445625625</v>
      </c>
      <c r="E83">
        <f>C83</f>
        <v>48.695066509513396</v>
      </c>
      <c r="F83">
        <f>O5+O12+O18</f>
        <v>31.490457697867086</v>
      </c>
      <c r="G83">
        <f>SQRT(SUMSQ(C5,E5,G5,I5,K5,M5,C12,E12,G12,I12,K12,M12,C18,E18,G18,I18,K18,M18))</f>
        <v>0.73417966355019482</v>
      </c>
      <c r="I83">
        <f>E83-F83</f>
        <v>17.20460881164631</v>
      </c>
      <c r="J83">
        <f>SQRT(SUMSQ(D83,G83))</f>
        <v>0.77460932880799727</v>
      </c>
      <c r="K83">
        <f>(E83/$E$91)*100-F83</f>
        <v>26.530858916552987</v>
      </c>
      <c r="L83">
        <f>SQRT((100*SQRT((D83/E83)^2+($E$92/$E$91)^2))^2+G83^2)</f>
        <v>1.1968125620252765</v>
      </c>
      <c r="N83" t="s">
        <v>56</v>
      </c>
      <c r="O83" s="33">
        <f>O5+O6+O8+O9+O12+O13+O15+O16+O18+O19+O21+O22</f>
        <v>56.176355021919747</v>
      </c>
      <c r="Q83">
        <f>K83/$K$91</f>
        <v>0.60540055328175479</v>
      </c>
      <c r="R83">
        <f>SQRT((SQRT(SUMSQ(L$83:L$86))/SUM(K$83:K$86))^2+(L83/K83)^2)*Q83</f>
        <v>4.0548211591103452E-2</v>
      </c>
      <c r="U83" s="79">
        <f>I83/SUM(I$83:I$86)</f>
        <v>0.61999012577357027</v>
      </c>
      <c r="W83" s="79">
        <f>K83/SUM(K$83:K$86)</f>
        <v>0.60540055328175479</v>
      </c>
    </row>
    <row r="84" spans="1:23" x14ac:dyDescent="0.25">
      <c r="A84" s="2" t="str">
        <f>'R0025_Gen1_Liberation'!A19</f>
        <v>Anode</v>
      </c>
      <c r="B84">
        <f>'R0025_Gen1_Liberation'!D19</f>
        <v>0.2823918168041758</v>
      </c>
      <c r="C84">
        <f t="shared" ref="C84:C88" si="9">B84*100</f>
        <v>28.23918168041758</v>
      </c>
      <c r="D84">
        <f>'R0025_Gen1_Liberation'!F19*100</f>
        <v>0.1239849620185929</v>
      </c>
      <c r="E84">
        <f>C84</f>
        <v>28.23918168041758</v>
      </c>
      <c r="F84">
        <f>O6+O13+O19</f>
        <v>19.104723841707052</v>
      </c>
      <c r="G84">
        <f>SQRT(SUMSQ(C6,E6,G6,I6,K6,M6,C13,E13,G13,I13,K13,M13,C19,E19,G19,I19,K19,M19))</f>
        <v>0.67799319950572057</v>
      </c>
      <c r="I84">
        <f>E84-F84</f>
        <v>9.134457838710528</v>
      </c>
      <c r="J84">
        <f>SQRT(SUMSQ(D84,G84))</f>
        <v>0.68923656996908955</v>
      </c>
      <c r="K84">
        <f>(E84/$E$91)*100-F84</f>
        <v>14.542925061114264</v>
      </c>
      <c r="L84">
        <f>SQRT((100*SQRT((D84/E84)^2+($E$92/$E$91)^2))^2+G84^2)</f>
        <v>1.1351347177711766</v>
      </c>
      <c r="N84" t="s">
        <v>69</v>
      </c>
      <c r="O84">
        <f>O7+O14+O20</f>
        <v>13.206744905905794</v>
      </c>
      <c r="Q84">
        <f>K84/$K$91</f>
        <v>0.33185110614117908</v>
      </c>
      <c r="R84">
        <f>SQRT((SQRT(SUMSQ(L$83:L$86))/SUM(K$83:K$86))^2+(L84/K84)^2)*Q84</f>
        <v>3.0673337292450475E-2</v>
      </c>
      <c r="U84" s="79">
        <f t="shared" ref="U84:W86" si="10">I84/SUM(I$83:I$86)</f>
        <v>0.32917189378126849</v>
      </c>
      <c r="W84" s="79">
        <f t="shared" si="10"/>
        <v>0.33185110614117908</v>
      </c>
    </row>
    <row r="85" spans="1:23" x14ac:dyDescent="0.25">
      <c r="A85" s="2" t="str">
        <f>'R0025_Gen1_Liberation'!A20</f>
        <v>Pouch</v>
      </c>
      <c r="B85">
        <f>'R0025_Gen1_Liberation'!D20</f>
        <v>4.6703990570803169E-2</v>
      </c>
      <c r="C85">
        <f t="shared" si="9"/>
        <v>4.6703990570803171</v>
      </c>
      <c r="D85">
        <f>'R0025_Gen1_Liberation'!F20*100</f>
        <v>7.9678894277721551E-3</v>
      </c>
      <c r="E85">
        <f>C85</f>
        <v>4.6703990570803171</v>
      </c>
      <c r="F85">
        <f>O8+O15+O21</f>
        <v>3.6032175814065215</v>
      </c>
      <c r="G85">
        <f>SQRT(SUMSQ(C8,E8,G8,I8,K8,M8,C15,E15,G15,I15,K15,M15,C21,E21,G21,I21,K21,M21))</f>
        <v>0.40664411968861525</v>
      </c>
      <c r="I85">
        <f>E85-F85</f>
        <v>1.0671814756737956</v>
      </c>
      <c r="J85">
        <f>SQRT(SUMSQ(D85,G85))</f>
        <v>0.40672217463430982</v>
      </c>
      <c r="K85">
        <f>(E85/$E$91)*100-F85</f>
        <v>1.9616727007251407</v>
      </c>
      <c r="L85">
        <f>SQRT((100*SQRT((D85/E85)^2+($E$92/$E$91)^2))^2+G85^2)</f>
        <v>0.91134720530735536</v>
      </c>
      <c r="N85" t="s">
        <v>70</v>
      </c>
      <c r="O85" s="16">
        <f>'R0025_Gen1_Liberation'!$H$2</f>
        <v>2.1884490281578133</v>
      </c>
      <c r="Q85">
        <f>K85/$K$91</f>
        <v>4.476288318113044E-2</v>
      </c>
      <c r="R85">
        <f>SQRT((SQRT(SUMSQ(L$83:L$86))/SUM(K$83:K$86))^2+(L85/K85)^2)*Q85</f>
        <v>2.0913536040545844E-2</v>
      </c>
      <c r="U85" s="79">
        <f t="shared" si="10"/>
        <v>3.8457252040414648E-2</v>
      </c>
      <c r="W85" s="79">
        <f t="shared" si="10"/>
        <v>4.476288318113044E-2</v>
      </c>
    </row>
    <row r="86" spans="1:23" x14ac:dyDescent="0.25">
      <c r="A86" s="2" t="str">
        <f>'R0025_Gen1_Liberation'!A21</f>
        <v>Separator</v>
      </c>
      <c r="B86">
        <f>'R0025_Gen1_Liberation'!D21</f>
        <v>2.3215187742044119E-2</v>
      </c>
      <c r="C86">
        <f t="shared" si="9"/>
        <v>2.3215187742044119</v>
      </c>
      <c r="D86">
        <f>'R0025_Gen1_Liberation'!F21*100</f>
        <v>1.6583616893898992E-2</v>
      </c>
      <c r="E86">
        <f>C86</f>
        <v>2.3215187742044119</v>
      </c>
      <c r="F86">
        <f>O9+O16+O22</f>
        <v>1.9779559009390768</v>
      </c>
      <c r="G86">
        <f>SQRT(SUMSQ(C9,E9,G9,I9,K9,M9,C16,E16,G16,I16,K16,M16,C22,E22,G22,I22,K22,M22))</f>
        <v>9.7251623785868074E-2</v>
      </c>
      <c r="I86">
        <f>E86-F86</f>
        <v>0.34356287326533508</v>
      </c>
      <c r="J86">
        <f>SQRT(SUMSQ(D86,G86))</f>
        <v>9.8655434104116299E-2</v>
      </c>
      <c r="K86">
        <f>(E86/$E$91)*100-F86</f>
        <v>0.78818829968788284</v>
      </c>
      <c r="L86">
        <f>SQRT((100*SQRT((D86/E86)^2+($E$92/$E$91)^2))^2+G86^2)</f>
        <v>1.0750967249854178</v>
      </c>
      <c r="N86" t="s">
        <v>71</v>
      </c>
      <c r="O86" s="16">
        <f>SUM('R0025_Gen1_Liberation'!$H$9,'R0025_Gen1_Liberation'!$H$10,'R0025_Gen1_Liberation'!$H$11)</f>
        <v>12.354201769242332</v>
      </c>
      <c r="Q86">
        <f>K86/$K$91</f>
        <v>1.7985457395935898E-2</v>
      </c>
      <c r="R86">
        <f>SQRT((SQRT(SUMSQ(L$83:L$86))/SUM(K$83:K$86))^2+(L86/K86)^2)*Q86</f>
        <v>2.4548497934571485E-2</v>
      </c>
      <c r="U86" s="79">
        <f t="shared" si="10"/>
        <v>1.2380728404746667E-2</v>
      </c>
      <c r="W86" s="79">
        <f t="shared" si="10"/>
        <v>1.7985457395935898E-2</v>
      </c>
    </row>
    <row r="87" spans="1:23" x14ac:dyDescent="0.25">
      <c r="A87" s="2" t="str">
        <f>'R0025_Gen1_Liberation'!A22</f>
        <v>Electrolyte</v>
      </c>
      <c r="B87">
        <f>'R0025_Gen1_Liberation'!D22</f>
        <v>0.16073833978784308</v>
      </c>
      <c r="C87">
        <f t="shared" si="9"/>
        <v>16.073833978784307</v>
      </c>
      <c r="D87">
        <f>'R0025_Gen1_Liberation'!F22*100</f>
        <v>0.22030342879139783</v>
      </c>
    </row>
    <row r="88" spans="1:23" ht="15.75" thickBot="1" x14ac:dyDescent="0.3">
      <c r="A88" s="2" t="str">
        <f>'R0025_Gen1_Liberation'!A23</f>
        <v>Whole</v>
      </c>
      <c r="B88">
        <f>'R0025_Gen1_Liberation'!D23</f>
        <v>1</v>
      </c>
      <c r="C88">
        <f t="shared" si="9"/>
        <v>100</v>
      </c>
      <c r="D88">
        <f>'R0025_Gen1_Liberation'!F23*100</f>
        <v>3.6697246535954041E-2</v>
      </c>
      <c r="N88" t="s">
        <v>122</v>
      </c>
      <c r="O88" s="16">
        <f>O86+O85+O82</f>
        <v>83.926166021215693</v>
      </c>
    </row>
    <row r="89" spans="1:23" ht="15.75" thickBot="1" x14ac:dyDescent="0.3">
      <c r="N89" t="s">
        <v>72</v>
      </c>
      <c r="O89" s="37">
        <f>SUM(O84:O86)</f>
        <v>27.749395703305936</v>
      </c>
    </row>
    <row r="90" spans="1:23" ht="15.75" thickBot="1" x14ac:dyDescent="0.3">
      <c r="I90" s="30"/>
      <c r="R90" s="16"/>
    </row>
    <row r="91" spans="1:23" ht="15.75" thickBot="1" x14ac:dyDescent="0.3">
      <c r="A91" s="2" t="s">
        <v>35</v>
      </c>
      <c r="E91" s="32">
        <f>SUM(E83:E86)</f>
        <v>83.926166021215693</v>
      </c>
      <c r="F91" s="35">
        <f>SUM(F83:F86)</f>
        <v>56.17635502191974</v>
      </c>
      <c r="I91" s="39">
        <f>SUM(I83:I86)</f>
        <v>27.749810999295967</v>
      </c>
      <c r="K91" s="39">
        <f>SUM(K83:K86)</f>
        <v>43.823644978080267</v>
      </c>
      <c r="N91" t="s">
        <v>73</v>
      </c>
      <c r="O91" s="31">
        <f>O89+O83</f>
        <v>83.925750725225683</v>
      </c>
    </row>
    <row r="92" spans="1:23" x14ac:dyDescent="0.25">
      <c r="A92" s="2" t="s">
        <v>63</v>
      </c>
      <c r="D92" t="s">
        <v>123</v>
      </c>
      <c r="E92">
        <f>F91/E91</f>
        <v>0.66935447769315382</v>
      </c>
      <c r="I92" t="str">
        <f>IF((ROUND(I91,J93)+ROUND(F91,J93))=ROUND(E91,J93),"ok","Something Wrong")</f>
        <v>ok</v>
      </c>
      <c r="K92" t="str">
        <f>IF(K91+F91=100,"ok","Something Wrong")</f>
        <v>ok</v>
      </c>
    </row>
    <row r="93" spans="1:23" x14ac:dyDescent="0.25">
      <c r="B93" s="16"/>
      <c r="H93" t="s">
        <v>124</v>
      </c>
      <c r="J93">
        <v>3</v>
      </c>
    </row>
  </sheetData>
  <mergeCells count="7">
    <mergeCell ref="O1:P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9F09-B009-4683-B542-06C4D0EFE4DD}">
  <sheetPr codeName="Sheet26">
    <tabColor rgb="FFFF0000"/>
  </sheetPr>
  <dimension ref="A1:U78"/>
  <sheetViews>
    <sheetView topLeftCell="A46" workbookViewId="0">
      <selection activeCell="I63" sqref="I63:O70"/>
    </sheetView>
  </sheetViews>
  <sheetFormatPr defaultRowHeight="15" x14ac:dyDescent="0.25"/>
  <cols>
    <col min="2" max="2" width="14.5703125" bestFit="1" customWidth="1"/>
    <col min="3" max="3" width="8.28515625" bestFit="1" customWidth="1"/>
    <col min="4" max="4" width="14.5703125" bestFit="1" customWidth="1"/>
    <col min="5" max="5" width="8.28515625" bestFit="1" customWidth="1"/>
    <col min="6" max="6" width="14.5703125" bestFit="1" customWidth="1"/>
    <col min="7" max="7" width="8.28515625" bestFit="1" customWidth="1"/>
    <col min="8" max="8" width="14.5703125" bestFit="1" customWidth="1"/>
    <col min="9" max="9" width="8.28515625" bestFit="1" customWidth="1"/>
    <col min="10" max="10" width="14.5703125" bestFit="1" customWidth="1"/>
    <col min="11" max="11" width="8.28515625" bestFit="1" customWidth="1"/>
    <col min="12" max="12" width="14.5703125" bestFit="1" customWidth="1"/>
    <col min="13" max="13" width="8.28515625" bestFit="1" customWidth="1"/>
    <col min="15" max="15" width="19.28515625" customWidth="1"/>
  </cols>
  <sheetData>
    <row r="1" spans="1:21" x14ac:dyDescent="0.25">
      <c r="A1" s="2">
        <f>'R0025_Gen1_Total'!A1</f>
        <v>0</v>
      </c>
      <c r="B1" s="99" t="str">
        <f>'R0025_Gen1_Total'!B1</f>
        <v>1-2mm</v>
      </c>
      <c r="C1" s="100"/>
      <c r="D1" s="98" t="str">
        <f>'R0025_Gen1_Total'!D1</f>
        <v>2-2.8mm</v>
      </c>
      <c r="E1" s="98"/>
      <c r="F1" s="98" t="str">
        <f>'R0025_Gen1_Total'!F1</f>
        <v>2.8-4mm</v>
      </c>
      <c r="G1" s="98"/>
      <c r="H1" s="98" t="str">
        <f>'R0025_Gen1_Total'!H1</f>
        <v>4-5.6mm</v>
      </c>
      <c r="I1" s="98"/>
      <c r="J1" s="98" t="str">
        <f>'R0025_Gen1_Total'!J1</f>
        <v>5.6-8mm</v>
      </c>
      <c r="K1" s="98"/>
      <c r="L1" s="98" t="str">
        <f>'R0025_Gen1_Total'!L1</f>
        <v>8-11.2mm</v>
      </c>
      <c r="M1" s="98"/>
      <c r="O1" s="98" t="s">
        <v>74</v>
      </c>
      <c r="P1" s="98"/>
    </row>
    <row r="2" spans="1:21" x14ac:dyDescent="0.25">
      <c r="A2" s="2">
        <f>'R0025_Gen1_Total'!A2</f>
        <v>0</v>
      </c>
      <c r="B2" s="16" t="str">
        <f>'R0025_Gen1_Total'!B2</f>
        <v>Percentage (%)</v>
      </c>
      <c r="C2" s="16" t="str">
        <f>'R0025_Gen1_Total'!C2</f>
        <v>STDEV.P</v>
      </c>
      <c r="D2" s="16" t="str">
        <f>'R0025_Gen1_Total'!D2</f>
        <v>Percentage (%)</v>
      </c>
      <c r="E2" t="str">
        <f>'R0025_Gen1_Total'!E2</f>
        <v>STDEV.P</v>
      </c>
      <c r="F2" s="16" t="str">
        <f>'R0025_Gen1_Total'!F2</f>
        <v>Percentage (%)</v>
      </c>
      <c r="G2" t="str">
        <f>'R0025_Gen1_Total'!G2</f>
        <v>STDEV.P</v>
      </c>
      <c r="H2" s="16" t="str">
        <f>'R0025_Gen1_Total'!H2</f>
        <v>Percentage (%)</v>
      </c>
      <c r="I2" t="str">
        <f>'R0025_Gen1_Total'!I2</f>
        <v>STDEV.P</v>
      </c>
      <c r="J2" s="16" t="str">
        <f>'R0025_Gen1_Total'!J2</f>
        <v>Percentage (%)</v>
      </c>
      <c r="K2" t="str">
        <f>'R0025_Gen1_Total'!K2</f>
        <v>STDEV.P</v>
      </c>
      <c r="L2" s="16" t="str">
        <f>'R0025_Gen1_Total'!L2</f>
        <v>Percentage (%)</v>
      </c>
      <c r="M2" t="str">
        <f>'R0025_Gen1_Total'!M2</f>
        <v>STDEV.P</v>
      </c>
      <c r="O2" s="16" t="s">
        <v>52</v>
      </c>
      <c r="P2" t="s">
        <v>27</v>
      </c>
    </row>
    <row r="3" spans="1:21" x14ac:dyDescent="0.25">
      <c r="A3" s="13" t="str">
        <f>'R0025_Gen1_Total'!A3</f>
        <v>Total</v>
      </c>
      <c r="B3" s="21">
        <f>'R0025_Gen1_Total'!B3</f>
        <v>7.4349998802576849</v>
      </c>
      <c r="C3" s="21">
        <f>'R0025_Gen1_Total'!C3</f>
        <v>0</v>
      </c>
      <c r="D3" s="21">
        <f>'R0025_Gen1_Total'!D3</f>
        <v>7.5268023214043387</v>
      </c>
      <c r="E3" s="21">
        <f>'R0025_Gen1_Total'!E3</f>
        <v>0</v>
      </c>
      <c r="F3" s="21">
        <f>'R0025_Gen1_Total'!F3</f>
        <v>13.477995353998196</v>
      </c>
      <c r="G3" s="21">
        <f>'R0025_Gen1_Total'!G3</f>
        <v>0</v>
      </c>
      <c r="H3" s="21">
        <f>'R0025_Gen1_Total'!H3</f>
        <v>22.575417701107213</v>
      </c>
      <c r="I3" s="21">
        <f>'R0025_Gen1_Total'!I3</f>
        <v>0</v>
      </c>
      <c r="J3" s="21">
        <f>'R0025_Gen1_Total'!J3</f>
        <v>23.966424255003233</v>
      </c>
      <c r="K3" s="21">
        <f>'R0025_Gen1_Total'!K3</f>
        <v>0</v>
      </c>
      <c r="L3" s="21">
        <f>'R0025_Gen1_Total'!L3</f>
        <v>7.6904501512744572</v>
      </c>
      <c r="M3" s="21">
        <f>'R0025_Gen1_Total'!M3</f>
        <v>0</v>
      </c>
      <c r="N3" s="9"/>
      <c r="O3" s="21">
        <f t="shared" ref="O3:P16" si="0">SUM(B3,D3,F3,H3,J3,L3)</f>
        <v>82.672089663045128</v>
      </c>
      <c r="P3" s="21">
        <f t="shared" si="0"/>
        <v>0</v>
      </c>
      <c r="Q3" s="9"/>
      <c r="R3" s="9"/>
      <c r="S3" s="9"/>
      <c r="T3" s="9"/>
      <c r="U3" s="9"/>
    </row>
    <row r="4" spans="1:21" x14ac:dyDescent="0.25">
      <c r="A4" s="22" t="str">
        <f>'R0025_Gen1_Total'!A4</f>
        <v>Non-conductive</v>
      </c>
      <c r="B4" s="23">
        <f>'R0025_Gen1_Total'!B4</f>
        <v>0.3210284586075382</v>
      </c>
      <c r="C4" s="23">
        <f>'R0025_Gen1_Total'!C4</f>
        <v>2.9059106590971304E-2</v>
      </c>
      <c r="D4" s="23">
        <f>'R0025_Gen1_Total'!D4</f>
        <v>0.43496294007686237</v>
      </c>
      <c r="E4" s="23">
        <f>'R0025_Gen1_Total'!E4</f>
        <v>0.15730749414209427</v>
      </c>
      <c r="F4" s="23">
        <f>'R0025_Gen1_Total'!F4</f>
        <v>0.49804262048273618</v>
      </c>
      <c r="G4" s="23">
        <f>'R0025_Gen1_Total'!G4</f>
        <v>2.8257636163378154E-2</v>
      </c>
      <c r="H4" s="23">
        <f>'R0025_Gen1_Total'!H4</f>
        <v>0.75415091984072036</v>
      </c>
      <c r="I4" s="23">
        <f>'R0025_Gen1_Total'!I4</f>
        <v>1.835057455556819E-2</v>
      </c>
      <c r="J4" s="23">
        <f>'R0025_Gen1_Total'!J4</f>
        <v>0.60793561970672705</v>
      </c>
      <c r="K4" s="23">
        <f>'R0025_Gen1_Total'!K4</f>
        <v>0.18794077458120154</v>
      </c>
      <c r="L4" s="23">
        <f>'R0025_Gen1_Total'!L4</f>
        <v>0.18406202363463303</v>
      </c>
      <c r="M4" s="23">
        <f>'R0025_Gen1_Total'!M4</f>
        <v>9.8230717461934333E-2</v>
      </c>
      <c r="N4" s="24"/>
      <c r="O4" s="23">
        <f t="shared" si="0"/>
        <v>2.8001825823492172</v>
      </c>
      <c r="P4" s="23">
        <f t="shared" si="0"/>
        <v>0.51914630349514779</v>
      </c>
      <c r="Q4" s="24"/>
      <c r="R4" s="24"/>
      <c r="S4" s="24"/>
      <c r="T4" s="24"/>
      <c r="U4" s="24"/>
    </row>
    <row r="5" spans="1:21" x14ac:dyDescent="0.25">
      <c r="A5" s="2" t="str">
        <f>'R0025_Gen1_Total'!A5</f>
        <v>C</v>
      </c>
      <c r="B5" s="16">
        <f>'R0025_Gen1_Total'!B5</f>
        <v>5.3467754242359526E-3</v>
      </c>
      <c r="C5" s="16">
        <f>'R0025_Gen1_Total'!C5</f>
        <v>1.8267783676979758E-3</v>
      </c>
      <c r="D5" s="16">
        <f>'R0025_Gen1_Total'!D5</f>
        <v>4.2044854971706822E-3</v>
      </c>
      <c r="E5" s="16">
        <f>'R0025_Gen1_Total'!E5</f>
        <v>4.4172416671277616E-3</v>
      </c>
      <c r="F5" s="16">
        <f>'R0025_Gen1_Total'!F5</f>
        <v>4.3271055612048217E-3</v>
      </c>
      <c r="G5" s="16">
        <f>'R0025_Gen1_Total'!G5</f>
        <v>5.3568610062238991E-3</v>
      </c>
      <c r="H5" s="16">
        <f>'R0025_Gen1_Total'!H5</f>
        <v>9.6925794450515593E-2</v>
      </c>
      <c r="I5" s="16">
        <f>'R0025_Gen1_Total'!I5</f>
        <v>5.0003804495878962E-2</v>
      </c>
      <c r="J5" s="16">
        <f>'R0025_Gen1_Total'!J5</f>
        <v>2.459560583673568E-2</v>
      </c>
      <c r="K5" s="16">
        <f>'R0025_Gen1_Total'!K5</f>
        <v>4.2600838952163829E-2</v>
      </c>
      <c r="L5" s="16">
        <f>'R0025_Gen1_Total'!L5</f>
        <v>0</v>
      </c>
      <c r="M5" s="16">
        <f>'R0025_Gen1_Total'!M5</f>
        <v>0</v>
      </c>
      <c r="O5" s="16">
        <f t="shared" si="0"/>
        <v>0.13539976676986273</v>
      </c>
      <c r="P5" s="16">
        <f t="shared" si="0"/>
        <v>0.10420552448909243</v>
      </c>
    </row>
    <row r="6" spans="1:21" x14ac:dyDescent="0.25">
      <c r="A6" s="2" t="str">
        <f>'R0025_Gen1_Total'!A6</f>
        <v>A</v>
      </c>
      <c r="B6" s="16">
        <f>'R0025_Gen1_Total'!B6</f>
        <v>3.4181999990050942E-2</v>
      </c>
      <c r="C6" s="16">
        <f>'R0025_Gen1_Total'!C6</f>
        <v>2.3588613814623939E-2</v>
      </c>
      <c r="D6" s="16">
        <f>'R0025_Gen1_Total'!D6</f>
        <v>4.3148587231050216E-3</v>
      </c>
      <c r="E6" s="16">
        <f>'R0025_Gen1_Total'!E6</f>
        <v>6.2862796281021992E-3</v>
      </c>
      <c r="F6" s="16">
        <f>'R0025_Gen1_Total'!F6</f>
        <v>1.0933423303767938E-3</v>
      </c>
      <c r="G6" s="16">
        <f>'R0025_Gen1_Total'!G6</f>
        <v>1.8937244662783639E-3</v>
      </c>
      <c r="H6" s="16">
        <f>'R0025_Gen1_Total'!H6</f>
        <v>9.2095126890883006E-2</v>
      </c>
      <c r="I6" s="16">
        <f>'R0025_Gen1_Total'!I6</f>
        <v>3.6205788485548097E-2</v>
      </c>
      <c r="J6" s="16">
        <f>'R0025_Gen1_Total'!J6</f>
        <v>3.8255872424655057E-2</v>
      </c>
      <c r="K6" s="16">
        <f>'R0025_Gen1_Total'!K6</f>
        <v>3.8558943825331135E-2</v>
      </c>
      <c r="L6" s="16">
        <f>'R0025_Gen1_Total'!L6</f>
        <v>4.1256554406033617E-3</v>
      </c>
      <c r="M6" s="16">
        <f>'R0025_Gen1_Total'!M6</f>
        <v>7.145844837647985E-3</v>
      </c>
      <c r="O6" s="16">
        <f t="shared" si="0"/>
        <v>0.17406685579967418</v>
      </c>
      <c r="P6" s="16">
        <f t="shared" si="0"/>
        <v>0.11367919505753173</v>
      </c>
    </row>
    <row r="7" spans="1:21" x14ac:dyDescent="0.25">
      <c r="A7" s="2" t="str">
        <f>'R0025_Gen1_Total'!A7</f>
        <v>L</v>
      </c>
      <c r="B7" s="16">
        <f>'R0025_Gen1_Total'!B7</f>
        <v>3.1866793786964839E-3</v>
      </c>
      <c r="C7" s="16">
        <f>'R0025_Gen1_Total'!C7</f>
        <v>1.6058534939066048E-3</v>
      </c>
      <c r="D7" s="16">
        <f>'R0025_Gen1_Total'!D7</f>
        <v>7.6070986874016778E-3</v>
      </c>
      <c r="E7" s="16">
        <f>'R0025_Gen1_Total'!E7</f>
        <v>8.0792009203248614E-3</v>
      </c>
      <c r="F7" s="16">
        <f>'R0025_Gen1_Total'!F7</f>
        <v>0</v>
      </c>
      <c r="G7" s="16">
        <f>'R0025_Gen1_Total'!G7</f>
        <v>0</v>
      </c>
      <c r="H7" s="16">
        <f>'R0025_Gen1_Total'!H7</f>
        <v>3.6165821967220936E-2</v>
      </c>
      <c r="I7" s="16">
        <f>'R0025_Gen1_Total'!I7</f>
        <v>4.2902581440531509E-2</v>
      </c>
      <c r="J7" s="16">
        <f>'R0025_Gen1_Total'!J7</f>
        <v>7.6071655210887407E-2</v>
      </c>
      <c r="K7" s="16">
        <f>'R0025_Gen1_Total'!K7</f>
        <v>0.13175997184111873</v>
      </c>
      <c r="L7" s="16">
        <f>'R0025_Gen1_Total'!L7</f>
        <v>6.4993958905171761E-2</v>
      </c>
      <c r="M7" s="16">
        <f>'R0025_Gen1_Total'!M7</f>
        <v>0.10912007814840935</v>
      </c>
      <c r="O7" s="16">
        <f t="shared" si="0"/>
        <v>0.18802521414937828</v>
      </c>
      <c r="P7" s="16">
        <f t="shared" si="0"/>
        <v>0.29346768584429106</v>
      </c>
    </row>
    <row r="8" spans="1:21" x14ac:dyDescent="0.25">
      <c r="A8" s="2" t="str">
        <f>'R0025_Gen1_Total'!A8</f>
        <v>P</v>
      </c>
      <c r="B8" s="16">
        <f>'R0025_Gen1_Total'!B8</f>
        <v>2.7146703497760345E-2</v>
      </c>
      <c r="C8" s="16">
        <f>'R0025_Gen1_Total'!C8</f>
        <v>5.0209724733944359E-3</v>
      </c>
      <c r="D8" s="16">
        <f>'R0025_Gen1_Total'!D8</f>
        <v>0.10572396332524078</v>
      </c>
      <c r="E8" s="16">
        <f>'R0025_Gen1_Total'!E8</f>
        <v>0.16917251687777318</v>
      </c>
      <c r="F8" s="16">
        <f>'R0025_Gen1_Total'!F8</f>
        <v>2.7686680424958985E-3</v>
      </c>
      <c r="G8" s="16">
        <f>'R0025_Gen1_Total'!G8</f>
        <v>2.8884134127209879E-3</v>
      </c>
      <c r="H8" s="16">
        <f>'R0025_Gen1_Total'!H8</f>
        <v>9.6117836874178193E-3</v>
      </c>
      <c r="I8" s="16">
        <f>'R0025_Gen1_Total'!I8</f>
        <v>1.0059812794615538E-2</v>
      </c>
      <c r="J8" s="16">
        <f>'R0025_Gen1_Total'!J8</f>
        <v>9.4286577513391472E-3</v>
      </c>
      <c r="K8" s="16">
        <f>'R0025_Gen1_Total'!K8</f>
        <v>1.1271238961215495E-2</v>
      </c>
      <c r="L8" s="16">
        <f>'R0025_Gen1_Total'!L8</f>
        <v>7.5547052880042846E-3</v>
      </c>
      <c r="M8" s="16">
        <f>'R0025_Gen1_Total'!M8</f>
        <v>1.3085133395032688E-2</v>
      </c>
      <c r="O8" s="16">
        <f t="shared" si="0"/>
        <v>0.16223448159225828</v>
      </c>
      <c r="P8" s="16">
        <f t="shared" si="0"/>
        <v>0.21149808791475233</v>
      </c>
    </row>
    <row r="9" spans="1:21" x14ac:dyDescent="0.25">
      <c r="A9" s="2" t="str">
        <f>'R0025_Gen1_Total'!A9</f>
        <v>S</v>
      </c>
      <c r="B9" s="16">
        <f>'R0025_Gen1_Total'!B9</f>
        <v>0.25116630031679443</v>
      </c>
      <c r="C9" s="16">
        <f>'R0025_Gen1_Total'!C9</f>
        <v>2.9557577470420097E-2</v>
      </c>
      <c r="D9" s="16">
        <f>'R0025_Gen1_Total'!D9</f>
        <v>0.31311253384394427</v>
      </c>
      <c r="E9" s="16">
        <f>'R0025_Gen1_Total'!E9</f>
        <v>3.4597898946964321E-2</v>
      </c>
      <c r="F9" s="16">
        <f>'R0025_Gen1_Total'!F9</f>
        <v>0.48985350454865861</v>
      </c>
      <c r="G9" s="16">
        <f>'R0025_Gen1_Total'!G9</f>
        <v>2.4117621492232361E-2</v>
      </c>
      <c r="H9" s="16">
        <f>'R0025_Gen1_Total'!H9</f>
        <v>0.51935239284468304</v>
      </c>
      <c r="I9" s="16">
        <f>'R0025_Gen1_Total'!I9</f>
        <v>6.9763388070665386E-2</v>
      </c>
      <c r="J9" s="16">
        <f>'R0025_Gen1_Total'!J9</f>
        <v>0.4595838284831098</v>
      </c>
      <c r="K9" s="16">
        <f>'R0025_Gen1_Total'!K9</f>
        <v>7.0279736638623011E-2</v>
      </c>
      <c r="L9" s="16">
        <f>'R0025_Gen1_Total'!L9</f>
        <v>0.10738770400085364</v>
      </c>
      <c r="M9" s="16">
        <f>'R0025_Gen1_Total'!M9</f>
        <v>8.6818134872746183E-3</v>
      </c>
      <c r="O9" s="16">
        <f t="shared" si="0"/>
        <v>2.1404562640380442</v>
      </c>
      <c r="P9" s="16">
        <f t="shared" si="0"/>
        <v>0.23699803610617978</v>
      </c>
    </row>
    <row r="10" spans="1:21" x14ac:dyDescent="0.25">
      <c r="A10" s="14" t="str">
        <f>'R0025_Gen1_Total'!A10</f>
        <v>Conductive</v>
      </c>
      <c r="B10" s="18">
        <f>'R0025_Gen1_Total'!B10</f>
        <v>7.1139714216501462</v>
      </c>
      <c r="C10" s="18">
        <f>'R0025_Gen1_Total'!C10</f>
        <v>2.9059106590971783E-2</v>
      </c>
      <c r="D10" s="18">
        <f>'R0025_Gen1_Total'!D10</f>
        <v>7.0918393813274756</v>
      </c>
      <c r="E10" s="18">
        <f>'R0025_Gen1_Total'!E10</f>
        <v>0.15730749414209425</v>
      </c>
      <c r="F10" s="18">
        <f>'R0025_Gen1_Total'!F10</f>
        <v>12.979952733515461</v>
      </c>
      <c r="G10" s="18">
        <f>'R0025_Gen1_Total'!G10</f>
        <v>2.8257636163378855E-2</v>
      </c>
      <c r="H10" s="18">
        <f>'R0025_Gen1_Total'!H10</f>
        <v>21.821266781266495</v>
      </c>
      <c r="I10" s="18">
        <f>'R0025_Gen1_Total'!I10</f>
        <v>1.8350574555568523E-2</v>
      </c>
      <c r="J10" s="18">
        <f>'R0025_Gen1_Total'!J10</f>
        <v>23.358488635296506</v>
      </c>
      <c r="K10" s="18">
        <f>'R0025_Gen1_Total'!K10</f>
        <v>0.18794077458120398</v>
      </c>
      <c r="L10" s="18">
        <f>'R0025_Gen1_Total'!L10</f>
        <v>7.5063881276398234</v>
      </c>
      <c r="M10" s="18">
        <f>'R0025_Gen1_Total'!M10</f>
        <v>9.8230717461934902E-2</v>
      </c>
      <c r="N10" s="10"/>
      <c r="O10" s="18">
        <f t="shared" si="0"/>
        <v>79.871907080695905</v>
      </c>
      <c r="P10" s="18">
        <f t="shared" si="0"/>
        <v>0.51914630349515223</v>
      </c>
      <c r="Q10" s="10"/>
      <c r="R10" s="10"/>
      <c r="S10" s="10"/>
      <c r="T10" s="10"/>
      <c r="U10" s="10"/>
    </row>
    <row r="11" spans="1:21" x14ac:dyDescent="0.25">
      <c r="A11" s="15" t="str">
        <f>'R0025_Gen1_Total'!A11</f>
        <v>Magnetic</v>
      </c>
      <c r="B11" s="17">
        <f>'R0025_Gen1_Total'!B11</f>
        <v>4.0521322106767945</v>
      </c>
      <c r="C11" s="17">
        <f>'R0025_Gen1_Total'!C11</f>
        <v>0.20540002023540432</v>
      </c>
      <c r="D11" s="17">
        <f>'R0025_Gen1_Total'!D11</f>
        <v>4.3475874745086012</v>
      </c>
      <c r="E11" s="17">
        <f>'R0025_Gen1_Total'!E11</f>
        <v>5.2769034846517959E-2</v>
      </c>
      <c r="F11" s="17">
        <f>'R0025_Gen1_Total'!F11</f>
        <v>8.2211586833104029</v>
      </c>
      <c r="G11" s="17">
        <f>'R0025_Gen1_Total'!G11</f>
        <v>0.27004871200517722</v>
      </c>
      <c r="H11" s="17">
        <f>'R0025_Gen1_Total'!H11</f>
        <v>13.836564485514421</v>
      </c>
      <c r="I11" s="17">
        <f>'R0025_Gen1_Total'!I11</f>
        <v>0.52157064586820234</v>
      </c>
      <c r="J11" s="17">
        <f>'R0025_Gen1_Total'!J11</f>
        <v>13.167032830923256</v>
      </c>
      <c r="K11" s="17">
        <f>'R0025_Gen1_Total'!K11</f>
        <v>0.73710830612318667</v>
      </c>
      <c r="L11" s="17">
        <f>'R0025_Gen1_Total'!L11</f>
        <v>2.3722052673720544</v>
      </c>
      <c r="M11" s="17">
        <f>'R0025_Gen1_Total'!M11</f>
        <v>0.54924448670868453</v>
      </c>
      <c r="N11" s="11"/>
      <c r="O11" s="17">
        <f t="shared" si="0"/>
        <v>45.996680952305525</v>
      </c>
      <c r="P11" s="17">
        <f t="shared" si="0"/>
        <v>2.3361412057871731</v>
      </c>
      <c r="Q11" s="11"/>
      <c r="R11" s="11"/>
      <c r="S11" s="11"/>
      <c r="T11" s="11"/>
      <c r="U11" s="11"/>
    </row>
    <row r="12" spans="1:21" x14ac:dyDescent="0.25">
      <c r="A12" s="2" t="str">
        <f>'R0025_Gen1_Total'!A12</f>
        <v>C</v>
      </c>
      <c r="B12" s="16">
        <f>'R0025_Gen1_Total'!B12</f>
        <v>3.8058282807211432</v>
      </c>
      <c r="C12" s="16">
        <f>'R0025_Gen1_Total'!C12</f>
        <v>8.1023378669432405E-2</v>
      </c>
      <c r="D12" s="16">
        <f>'R0025_Gen1_Total'!D12</f>
        <v>4.0525459545893368</v>
      </c>
      <c r="E12" s="16">
        <f>'R0025_Gen1_Total'!E12</f>
        <v>6.8247936068133994E-2</v>
      </c>
      <c r="F12" s="16">
        <f>'R0025_Gen1_Total'!F12</f>
        <v>7.3704033207908175</v>
      </c>
      <c r="G12" s="16">
        <f>'R0025_Gen1_Total'!G12</f>
        <v>0.16722455015063029</v>
      </c>
      <c r="H12" s="16">
        <f>'R0025_Gen1_Total'!H12</f>
        <v>11.256280897526628</v>
      </c>
      <c r="I12" s="16">
        <f>'R0025_Gen1_Total'!I12</f>
        <v>0.65993730490069924</v>
      </c>
      <c r="J12" s="16">
        <f>'R0025_Gen1_Total'!J12</f>
        <v>9.2900716530513261</v>
      </c>
      <c r="K12" s="16">
        <f>'R0025_Gen1_Total'!K12</f>
        <v>0.43633801627448021</v>
      </c>
      <c r="L12" s="16">
        <f>'R0025_Gen1_Total'!L12</f>
        <v>1.3812596028050648</v>
      </c>
      <c r="M12" s="16">
        <f>'R0025_Gen1_Total'!M12</f>
        <v>0.24345749782918569</v>
      </c>
      <c r="O12" s="16">
        <f t="shared" si="0"/>
        <v>37.156389709484316</v>
      </c>
      <c r="P12" s="16">
        <f t="shared" si="0"/>
        <v>1.6562286838925617</v>
      </c>
    </row>
    <row r="13" spans="1:21" x14ac:dyDescent="0.25">
      <c r="A13" s="2" t="str">
        <f>'R0025_Gen1_Total'!A13</f>
        <v>A</v>
      </c>
      <c r="B13" s="16">
        <f>'R0025_Gen1_Total'!B13</f>
        <v>0.17034108695187755</v>
      </c>
      <c r="C13" s="16">
        <f>'R0025_Gen1_Total'!C13</f>
        <v>0.21448487333459934</v>
      </c>
      <c r="D13" s="16">
        <f>'R0025_Gen1_Total'!D13</f>
        <v>1.7393539331159655E-2</v>
      </c>
      <c r="E13" s="16">
        <f>'R0025_Gen1_Total'!E13</f>
        <v>4.3436862666922484E-3</v>
      </c>
      <c r="F13" s="16">
        <f>'R0025_Gen1_Total'!F13</f>
        <v>0.174824808218496</v>
      </c>
      <c r="G13" s="16">
        <f>'R0025_Gen1_Total'!G13</f>
        <v>9.130436217338439E-2</v>
      </c>
      <c r="H13" s="16">
        <f>'R0025_Gen1_Total'!H13</f>
        <v>0.23019289531085455</v>
      </c>
      <c r="I13" s="16">
        <f>'R0025_Gen1_Total'!I13</f>
        <v>0.10777462926197599</v>
      </c>
      <c r="J13" s="16">
        <f>'R0025_Gen1_Total'!J13</f>
        <v>0.128946192090199</v>
      </c>
      <c r="K13" s="16">
        <f>'R0025_Gen1_Total'!K13</f>
        <v>6.5101670704995396E-2</v>
      </c>
      <c r="L13" s="16">
        <f>'R0025_Gen1_Total'!L13</f>
        <v>5.8318692914214112E-2</v>
      </c>
      <c r="M13" s="16">
        <f>'R0025_Gen1_Total'!M13</f>
        <v>9.907663290866392E-2</v>
      </c>
      <c r="O13" s="16">
        <f t="shared" si="0"/>
        <v>0.78001721481680086</v>
      </c>
      <c r="P13" s="16">
        <f t="shared" si="0"/>
        <v>0.58208585465031137</v>
      </c>
    </row>
    <row r="14" spans="1:21" x14ac:dyDescent="0.25">
      <c r="A14" s="2" t="str">
        <f>'R0025_Gen1_Total'!A14</f>
        <v>L</v>
      </c>
      <c r="B14" s="16">
        <f>'R0025_Gen1_Total'!B14</f>
        <v>4.3194740189624388E-2</v>
      </c>
      <c r="C14" s="16">
        <f>'R0025_Gen1_Total'!C14</f>
        <v>1.5742552001460818E-2</v>
      </c>
      <c r="D14" s="16">
        <f>'R0025_Gen1_Total'!D14</f>
        <v>0.24081941563121209</v>
      </c>
      <c r="E14" s="16">
        <f>'R0025_Gen1_Total'!E14</f>
        <v>8.3171464945970608E-2</v>
      </c>
      <c r="F14" s="16">
        <f>'R0025_Gen1_Total'!F14</f>
        <v>0.58884158194213365</v>
      </c>
      <c r="G14" s="16">
        <f>'R0025_Gen1_Total'!G14</f>
        <v>0.33433875476146574</v>
      </c>
      <c r="H14" s="16">
        <f>'R0025_Gen1_Total'!H14</f>
        <v>2.1245735789167188</v>
      </c>
      <c r="I14" s="16">
        <f>'R0025_Gen1_Total'!I14</f>
        <v>0.26896052291863543</v>
      </c>
      <c r="J14" s="16">
        <f>'R0025_Gen1_Total'!J14</f>
        <v>3.7028499770521655</v>
      </c>
      <c r="K14" s="16">
        <f>'R0025_Gen1_Total'!K14</f>
        <v>0.26913239622481716</v>
      </c>
      <c r="L14" s="16">
        <f>'R0025_Gen1_Total'!L14</f>
        <v>0.88869973175313577</v>
      </c>
      <c r="M14" s="16">
        <f>'R0025_Gen1_Total'!M14</f>
        <v>0.4604274579889705</v>
      </c>
      <c r="O14" s="16">
        <f t="shared" si="0"/>
        <v>7.5889790254849903</v>
      </c>
      <c r="P14" s="16">
        <f t="shared" si="0"/>
        <v>1.4317731488413201</v>
      </c>
    </row>
    <row r="15" spans="1:21" x14ac:dyDescent="0.25">
      <c r="A15" s="2" t="str">
        <f>'R0025_Gen1_Total'!A15</f>
        <v>P</v>
      </c>
      <c r="B15" s="16">
        <f>'R0025_Gen1_Total'!B15</f>
        <v>2.5142539504572299E-2</v>
      </c>
      <c r="C15" s="16">
        <f>'R0025_Gen1_Total'!C15</f>
        <v>1.8628092532188258E-2</v>
      </c>
      <c r="D15" s="16">
        <f>'R0025_Gen1_Total'!D15</f>
        <v>3.4158932286945748E-2</v>
      </c>
      <c r="E15" s="16">
        <f>'R0025_Gen1_Total'!E15</f>
        <v>2.1932080769632566E-2</v>
      </c>
      <c r="F15" s="16">
        <f>'R0025_Gen1_Total'!F15</f>
        <v>8.0616629693496811E-2</v>
      </c>
      <c r="G15" s="16">
        <f>'R0025_Gen1_Total'!G15</f>
        <v>4.170956376995915E-2</v>
      </c>
      <c r="H15" s="16">
        <f>'R0025_Gen1_Total'!H15</f>
        <v>0.22066204660133568</v>
      </c>
      <c r="I15" s="16">
        <f>'R0025_Gen1_Total'!I15</f>
        <v>0.16415502018039452</v>
      </c>
      <c r="J15" s="16">
        <f>'R0025_Gen1_Total'!J15</f>
        <v>3.879145256369089E-2</v>
      </c>
      <c r="K15" s="16">
        <f>'R0025_Gen1_Total'!K15</f>
        <v>4.0803510092160884E-2</v>
      </c>
      <c r="L15" s="16">
        <f>'R0025_Gen1_Total'!L15</f>
        <v>4.3927239899639953E-2</v>
      </c>
      <c r="M15" s="16">
        <f>'R0025_Gen1_Total'!M15</f>
        <v>3.0128696721801112E-2</v>
      </c>
      <c r="O15" s="16">
        <f t="shared" si="0"/>
        <v>0.44329884054968138</v>
      </c>
      <c r="P15" s="16">
        <f t="shared" si="0"/>
        <v>0.3173569640661365</v>
      </c>
    </row>
    <row r="16" spans="1:21" x14ac:dyDescent="0.25">
      <c r="A16" s="2" t="str">
        <f>'R0025_Gen1_Total'!A16</f>
        <v>S</v>
      </c>
      <c r="B16" s="16">
        <f>'R0025_Gen1_Total'!B16</f>
        <v>7.1307283734518973E-3</v>
      </c>
      <c r="C16" s="16">
        <f>'R0025_Gen1_Total'!C16</f>
        <v>4.3510855085818001E-3</v>
      </c>
      <c r="D16" s="16">
        <f>'R0025_Gen1_Total'!D16</f>
        <v>2.6696326699473323E-3</v>
      </c>
      <c r="E16" s="16">
        <f>'R0025_Gen1_Total'!E16</f>
        <v>1.67628343883448E-3</v>
      </c>
      <c r="F16" s="16">
        <f>'R0025_Gen1_Total'!F16</f>
        <v>6.4723426654593593E-3</v>
      </c>
      <c r="G16" s="16">
        <f>'R0025_Gen1_Total'!G16</f>
        <v>4.338564343896594E-3</v>
      </c>
      <c r="H16" s="16">
        <f>'R0025_Gen1_Total'!H16</f>
        <v>4.8550671588825133E-3</v>
      </c>
      <c r="I16" s="16">
        <f>'R0025_Gen1_Total'!I16</f>
        <v>6.5092082325804218E-3</v>
      </c>
      <c r="J16" s="16">
        <f>'R0025_Gen1_Total'!J16</f>
        <v>6.3735561658745717E-3</v>
      </c>
      <c r="K16" s="16">
        <f>'R0025_Gen1_Total'!K16</f>
        <v>4.4945052800104439E-3</v>
      </c>
      <c r="L16" s="16">
        <f>'R0025_Gen1_Total'!L16</f>
        <v>0</v>
      </c>
      <c r="M16" s="16">
        <f>'R0025_Gen1_Total'!M16</f>
        <v>0</v>
      </c>
      <c r="O16" s="16">
        <f t="shared" si="0"/>
        <v>2.7501327033615672E-2</v>
      </c>
      <c r="P16" s="16">
        <f t="shared" si="0"/>
        <v>2.1369646803903741E-2</v>
      </c>
    </row>
    <row r="17" spans="1:21" x14ac:dyDescent="0.25">
      <c r="A17" s="12" t="str">
        <f>'R0025_Gen1_Total'!A17</f>
        <v>Non-magnetic</v>
      </c>
      <c r="B17" s="19">
        <f>'R0025_Gen1_Total'!B17</f>
        <v>3.061839210973353</v>
      </c>
      <c r="C17" s="19">
        <f>'R0025_Gen1_Total'!C17</f>
        <v>0.20649710176637479</v>
      </c>
      <c r="D17" s="19">
        <f>'R0025_Gen1_Total'!D17</f>
        <v>2.7442519068188744</v>
      </c>
      <c r="E17" s="19">
        <f>'R0025_Gen1_Total'!E17</f>
        <v>0.11857293508557712</v>
      </c>
      <c r="F17" s="19">
        <f>'R0025_Gen1_Total'!F17</f>
        <v>4.7587940502050561</v>
      </c>
      <c r="G17" s="19">
        <f>'R0025_Gen1_Total'!G17</f>
        <v>0.25613910114042521</v>
      </c>
      <c r="H17" s="19">
        <f>'R0025_Gen1_Total'!H17</f>
        <v>7.984702295752073</v>
      </c>
      <c r="I17" s="19">
        <f>'R0025_Gen1_Total'!I17</f>
        <v>0.52392603392365011</v>
      </c>
      <c r="J17" s="19">
        <f>'R0025_Gen1_Total'!J17</f>
        <v>10.191455804373247</v>
      </c>
      <c r="K17" s="19">
        <f>'R0025_Gen1_Total'!K17</f>
        <v>0.88585248216529233</v>
      </c>
      <c r="L17" s="19">
        <f>'R0025_Gen1_Total'!L17</f>
        <v>5.134182860267769</v>
      </c>
      <c r="M17" s="19">
        <f>'R0025_Gen1_Total'!M17</f>
        <v>0.50626105084632034</v>
      </c>
      <c r="N17" s="20"/>
      <c r="O17" s="19">
        <f>SUM(B17,D17,F17,H17,J17,L17)</f>
        <v>33.875226128390374</v>
      </c>
      <c r="P17" s="19">
        <f>SUM(C17,E17,G17,I17,K17,M17)</f>
        <v>2.4972487049276402</v>
      </c>
      <c r="Q17" s="20"/>
      <c r="R17" s="20"/>
      <c r="S17" s="20"/>
      <c r="T17" s="20"/>
      <c r="U17" s="20"/>
    </row>
    <row r="18" spans="1:21" x14ac:dyDescent="0.25">
      <c r="A18" s="2" t="str">
        <f>'R0025_Gen1_Total'!A18</f>
        <v>C</v>
      </c>
      <c r="B18" s="16">
        <f>'R0025_Gen1_Total'!B18</f>
        <v>1.8495914844986562E-2</v>
      </c>
      <c r="C18" s="16">
        <f>'R0025_Gen1_Total'!C18</f>
        <v>7.4992995859907716E-3</v>
      </c>
      <c r="D18" s="16">
        <f>'R0025_Gen1_Total'!D18</f>
        <v>2.029267488033522E-3</v>
      </c>
      <c r="E18" s="16">
        <f>'R0025_Gen1_Total'!E18</f>
        <v>3.5147943914217291E-3</v>
      </c>
      <c r="F18" s="16">
        <f>'R0025_Gen1_Total'!F18</f>
        <v>0</v>
      </c>
      <c r="G18" s="16">
        <f>'R0025_Gen1_Total'!G18</f>
        <v>0</v>
      </c>
      <c r="H18" s="16">
        <f>'R0025_Gen1_Total'!H18</f>
        <v>2.7393539700565794E-2</v>
      </c>
      <c r="I18" s="16">
        <f>'R0025_Gen1_Total'!I18</f>
        <v>2.4031196011688565E-2</v>
      </c>
      <c r="J18" s="16">
        <f>'R0025_Gen1_Total'!J18</f>
        <v>0.14328643079954406</v>
      </c>
      <c r="K18" s="16">
        <f>'R0025_Gen1_Total'!K18</f>
        <v>0.1851328568372127</v>
      </c>
      <c r="L18" s="16">
        <f>'R0025_Gen1_Total'!L18</f>
        <v>3.8626089183803447E-2</v>
      </c>
      <c r="M18" s="16">
        <f>'R0025_Gen1_Total'!M18</f>
        <v>4.0103802842819489E-2</v>
      </c>
      <c r="O18" s="16">
        <f>SUM(B18,D18,F18,H18,J18,L18)</f>
        <v>0.22983124201693339</v>
      </c>
      <c r="P18" s="16">
        <f>SUM(C18,E18,G18,I18,K18,M18)</f>
        <v>0.26028194966913326</v>
      </c>
    </row>
    <row r="19" spans="1:21" x14ac:dyDescent="0.25">
      <c r="A19" s="2" t="str">
        <f>'R0025_Gen1_Total'!A19</f>
        <v>A</v>
      </c>
      <c r="B19" s="16">
        <f>'R0025_Gen1_Total'!B19</f>
        <v>2.9485204110725522</v>
      </c>
      <c r="C19" s="16">
        <f>'R0025_Gen1_Total'!C19</f>
        <v>0.19114491302531486</v>
      </c>
      <c r="D19" s="16">
        <f>'R0025_Gen1_Total'!D19</f>
        <v>2.5194601816202296</v>
      </c>
      <c r="E19" s="16">
        <f>'R0025_Gen1_Total'!E19</f>
        <v>8.0810877031483083E-2</v>
      </c>
      <c r="F19" s="16">
        <f>'R0025_Gen1_Total'!F19</f>
        <v>4.0797074290847322</v>
      </c>
      <c r="G19" s="16">
        <f>'R0025_Gen1_Total'!G19</f>
        <v>0.22836243616204799</v>
      </c>
      <c r="H19" s="16">
        <f>'R0025_Gen1_Total'!H19</f>
        <v>6.3136536907597494</v>
      </c>
      <c r="I19" s="16">
        <f>'R0025_Gen1_Total'!I19</f>
        <v>0.49153508908029764</v>
      </c>
      <c r="J19" s="16">
        <f>'R0025_Gen1_Total'!J19</f>
        <v>5.1272998147658431</v>
      </c>
      <c r="K19" s="16">
        <f>'R0025_Gen1_Total'!K19</f>
        <v>0.4788853944292647</v>
      </c>
      <c r="L19" s="16">
        <f>'R0025_Gen1_Total'!L19</f>
        <v>0.82100203009761052</v>
      </c>
      <c r="M19" s="16">
        <f>'R0025_Gen1_Total'!M19</f>
        <v>5.4607744308220615E-2</v>
      </c>
      <c r="O19" s="16">
        <f t="shared" ref="O19:P22" si="1">SUM(B19,D19,F19,H19,J19,L19)</f>
        <v>21.809643557400719</v>
      </c>
      <c r="P19" s="16">
        <f t="shared" si="1"/>
        <v>1.5253464540366291</v>
      </c>
    </row>
    <row r="20" spans="1:21" x14ac:dyDescent="0.25">
      <c r="A20" s="2" t="str">
        <f>'R0025_Gen1_Total'!A20</f>
        <v>L</v>
      </c>
      <c r="B20" s="16">
        <f>'R0025_Gen1_Total'!B20</f>
        <v>1.6341842295431758E-2</v>
      </c>
      <c r="C20" s="16">
        <f>'R0025_Gen1_Total'!C20</f>
        <v>5.0172693334080577E-3</v>
      </c>
      <c r="D20" s="16">
        <f>'R0025_Gen1_Total'!D20</f>
        <v>7.1976323912249951E-2</v>
      </c>
      <c r="E20" s="16">
        <f>'R0025_Gen1_Total'!E20</f>
        <v>3.1295776426927768E-2</v>
      </c>
      <c r="F20" s="16">
        <f>'R0025_Gen1_Total'!F20</f>
        <v>0.18831904345225137</v>
      </c>
      <c r="G20" s="16">
        <f>'R0025_Gen1_Total'!G20</f>
        <v>3.4794468231460159E-2</v>
      </c>
      <c r="H20" s="16">
        <f>'R0025_Gen1_Total'!H20</f>
        <v>0.7278940465017667</v>
      </c>
      <c r="I20" s="16">
        <f>'R0025_Gen1_Total'!I20</f>
        <v>0.19022873466463272</v>
      </c>
      <c r="J20" s="16">
        <f>'R0025_Gen1_Total'!J20</f>
        <v>3.6846377259960041</v>
      </c>
      <c r="K20" s="16">
        <f>'R0025_Gen1_Total'!K20</f>
        <v>0.80480209306637285</v>
      </c>
      <c r="L20" s="16">
        <f>'R0025_Gen1_Total'!L20</f>
        <v>3.2699738370015572</v>
      </c>
      <c r="M20" s="16">
        <f>'R0025_Gen1_Total'!M20</f>
        <v>0.51098699290230964</v>
      </c>
      <c r="O20" s="16">
        <f t="shared" si="1"/>
        <v>7.9591428191592613</v>
      </c>
      <c r="P20" s="16">
        <f t="shared" si="1"/>
        <v>1.5771253346251113</v>
      </c>
    </row>
    <row r="21" spans="1:21" x14ac:dyDescent="0.25">
      <c r="A21" s="2" t="str">
        <f>'R0025_Gen1_Total'!A21</f>
        <v>P</v>
      </c>
      <c r="B21" s="16">
        <f>'R0025_Gen1_Total'!B21</f>
        <v>6.5183664329811666E-2</v>
      </c>
      <c r="C21" s="16">
        <f>'R0025_Gen1_Total'!C21</f>
        <v>8.7200127841379517E-3</v>
      </c>
      <c r="D21" s="16">
        <f>'R0025_Gen1_Total'!D21</f>
        <v>0.13170919333515654</v>
      </c>
      <c r="E21" s="16">
        <f>'R0025_Gen1_Total'!E21</f>
        <v>2.4853123636787152E-2</v>
      </c>
      <c r="F21" s="16">
        <f>'R0025_Gen1_Total'!F21</f>
        <v>0.43998936332938188</v>
      </c>
      <c r="G21" s="16">
        <f>'R0025_Gen1_Total'!G21</f>
        <v>2.4005291024998564E-2</v>
      </c>
      <c r="H21" s="16">
        <f>'R0025_Gen1_Total'!H21</f>
        <v>0.85141320939652887</v>
      </c>
      <c r="I21" s="16">
        <f>'R0025_Gen1_Total'!I21</f>
        <v>0.3391792075563016</v>
      </c>
      <c r="J21" s="16">
        <f>'R0025_Gen1_Total'!J21</f>
        <v>1.2037974839902164</v>
      </c>
      <c r="K21" s="16">
        <f>'R0025_Gen1_Total'!K21</f>
        <v>0.22579202301825393</v>
      </c>
      <c r="L21" s="16">
        <f>'R0025_Gen1_Total'!L21</f>
        <v>0.99569222686973324</v>
      </c>
      <c r="M21" s="16">
        <f>'R0025_Gen1_Total'!M21</f>
        <v>7.9569655061097144E-2</v>
      </c>
      <c r="O21" s="16">
        <f t="shared" si="1"/>
        <v>3.6877851412508282</v>
      </c>
      <c r="P21" s="16">
        <f t="shared" si="1"/>
        <v>0.70211931308157638</v>
      </c>
    </row>
    <row r="22" spans="1:21" x14ac:dyDescent="0.25">
      <c r="A22" s="2" t="str">
        <f>'R0025_Gen1_Total'!A22</f>
        <v>S</v>
      </c>
      <c r="B22" s="16">
        <f>'R0025_Gen1_Total'!B22</f>
        <v>1.3297378430570529E-2</v>
      </c>
      <c r="C22" s="16">
        <f>'R0025_Gen1_Total'!C22</f>
        <v>5.3400740909070972E-3</v>
      </c>
      <c r="D22" s="16">
        <f>'R0025_Gen1_Total'!D22</f>
        <v>1.9076940463205003E-2</v>
      </c>
      <c r="E22" s="16">
        <f>'R0025_Gen1_Total'!E22</f>
        <v>4.7487443838980245E-3</v>
      </c>
      <c r="F22" s="16">
        <f>'R0025_Gen1_Total'!F22</f>
        <v>5.0778214338690522E-2</v>
      </c>
      <c r="G22" s="16">
        <f>'R0025_Gen1_Total'!G22</f>
        <v>1.1783915755073326E-2</v>
      </c>
      <c r="H22" s="16">
        <f>'R0025_Gen1_Total'!H22</f>
        <v>6.4347809393463129E-2</v>
      </c>
      <c r="I22" s="16">
        <f>'R0025_Gen1_Total'!I22</f>
        <v>1.3208237156901332E-2</v>
      </c>
      <c r="J22" s="16">
        <f>'R0025_Gen1_Total'!J22</f>
        <v>3.2434348821639231E-2</v>
      </c>
      <c r="K22" s="16">
        <f>'R0025_Gen1_Total'!K22</f>
        <v>1.5131443200138785E-2</v>
      </c>
      <c r="L22" s="16">
        <f>'R0025_Gen1_Total'!L22</f>
        <v>8.8886771150643688E-3</v>
      </c>
      <c r="M22" s="16">
        <f>'R0025_Gen1_Total'!M22</f>
        <v>1.4045139409140811E-2</v>
      </c>
      <c r="O22" s="16">
        <f t="shared" si="1"/>
        <v>0.18882336856263277</v>
      </c>
      <c r="P22" s="16">
        <f t="shared" si="1"/>
        <v>6.4257553996059383E-2</v>
      </c>
    </row>
    <row r="23" spans="1:21" x14ac:dyDescent="0.25">
      <c r="A23" s="2"/>
    </row>
    <row r="24" spans="1:21" x14ac:dyDescent="0.25">
      <c r="A24" t="s">
        <v>109</v>
      </c>
      <c r="O24" s="16"/>
    </row>
    <row r="25" spans="1:21" x14ac:dyDescent="0.25">
      <c r="A25" t="s">
        <v>110</v>
      </c>
      <c r="B25" s="46">
        <v>1</v>
      </c>
      <c r="C25" s="47">
        <f>B25</f>
        <v>1</v>
      </c>
      <c r="D25" s="45">
        <v>2</v>
      </c>
      <c r="E25" s="47">
        <f>D25</f>
        <v>2</v>
      </c>
      <c r="F25" s="45">
        <v>2.8</v>
      </c>
      <c r="G25" s="47">
        <f>F25</f>
        <v>2.8</v>
      </c>
      <c r="H25" s="45">
        <v>4</v>
      </c>
      <c r="I25" s="47">
        <f>H25</f>
        <v>4</v>
      </c>
      <c r="J25" s="45">
        <v>5.6</v>
      </c>
      <c r="K25" s="47">
        <f>J25</f>
        <v>5.6</v>
      </c>
      <c r="L25" s="45">
        <v>8</v>
      </c>
      <c r="M25" s="47">
        <f>L25</f>
        <v>8</v>
      </c>
      <c r="O25" s="16" t="s">
        <v>75</v>
      </c>
    </row>
    <row r="26" spans="1:21" x14ac:dyDescent="0.25">
      <c r="A26" s="2" t="s">
        <v>77</v>
      </c>
      <c r="B26">
        <f>(B8+B9+($L$40+$L$41)*B7)/B4</f>
        <v>0.86950730993054937</v>
      </c>
      <c r="C26" s="48">
        <f>(SQRT(SUMSQ(
(100*(C4/B4)),
(100*(SQRT(SUMSQ(C8,C9)))/(B8+B9))
)))
*0.01*((B8+B9)/B4)</f>
        <v>0.12198374244977828</v>
      </c>
      <c r="D26">
        <f>(D8+D9+($L$40+$L$41)*D7)/D4</f>
        <v>0.96744455683166997</v>
      </c>
      <c r="E26" s="48">
        <f>(SQRT(SUMSQ(
(100*(E4/D4)),
(100*(SQRT(SUMSQ(E8,E9)))/(D8+D9))
)))
*0.01*((D8+D9)/D4)</f>
        <v>0.52808604472067699</v>
      </c>
      <c r="F26">
        <f>(F8+F9+($L$40+$L$41)*F7)/F4</f>
        <v>0.98911649792877609</v>
      </c>
      <c r="G26" s="48">
        <f>(SQRT(SUMSQ(
(100*(G4/F4)),
(100*(SQRT(SUMSQ(G8,G9)))/(F8+F9))
)))
*0.01*((F8+F9)/F4)</f>
        <v>7.435078075322489E-2</v>
      </c>
      <c r="H26">
        <f>(H8+H9+($L$40+$L$41)*H7)/H4</f>
        <v>0.71379760946477344</v>
      </c>
      <c r="I26" s="48">
        <f>(SQRT(SUMSQ(
(100*(I4/H4)),
(100*(SQRT(SUMSQ(I8,I9)))/(H8+H9))
)))
*0.01*((H8+H9)/H4)</f>
        <v>9.5008196927029623E-2</v>
      </c>
      <c r="J26">
        <f>(J8+J9+($L$40+$L$41)*J7)/J4</f>
        <v>0.80382356196957638</v>
      </c>
      <c r="K26" s="48">
        <f>(SQRT(SUMSQ(
(100*(K4/J4)),
(100*(SQRT(SUMSQ(K8,K9)))/(J8+J9))
)))
*0.01*((J8+J9)/J4)</f>
        <v>0.26568917716296869</v>
      </c>
      <c r="L26">
        <f>(L8+L9+($L$40+$L$41)*L7)/L4</f>
        <v>0.71573646019963899</v>
      </c>
      <c r="M26" s="48">
        <f>(SQRT(SUMSQ(
(100*(M4/L4)),
(100*(SQRT(SUMSQ(M8,M9)))/(L8+L9))
)))
*0.01*((L8+L9)/L4)</f>
        <v>0.34401911732185819</v>
      </c>
      <c r="O26">
        <f>(O8+O9+($L$40+$L$41)*O7)/O4</f>
        <v>0.83968999305989411</v>
      </c>
      <c r="P26" s="48">
        <f>(SQRT(SUMSQ(
(100*(P4/O4)),
(100*(SQRT(SUMSQ(P8,P9)))/(O8+O9))
)))
*0.01*((O8+O9)/O4)</f>
        <v>0.19003121506430776</v>
      </c>
    </row>
    <row r="27" spans="1:21" x14ac:dyDescent="0.25">
      <c r="A27" s="2" t="s">
        <v>45</v>
      </c>
      <c r="B27">
        <f>(B12+B14*$L$38)/B11</f>
        <v>0.94337851873553769</v>
      </c>
      <c r="C27" s="48">
        <f>(SQRT(SUMSQ(
(100*C11/B11),
(100*C12/B12)
)))
*0.01*(B12/B11)</f>
        <v>5.1636787411003859E-2</v>
      </c>
      <c r="D27">
        <f>(D12+D14*$L$38)/D11</f>
        <v>0.95376538525653665</v>
      </c>
      <c r="E27" s="48">
        <f>(SQRT(SUMSQ(
(100*E11/D11),
(100*E12/D12)
)))
*0.01*(D12/D11)</f>
        <v>1.935011283743001E-2</v>
      </c>
      <c r="F27">
        <f>(F12+F14*$L$38)/F11</f>
        <v>0.92448375316766218</v>
      </c>
      <c r="G27" s="48">
        <f>(SQRT(SUMSQ(
(100*G11/F11),
(100*G12/F12)
)))
*0.01*(F12/F11)</f>
        <v>3.5790736438407848E-2</v>
      </c>
      <c r="H27">
        <f>(H12+H14*$L$38)/H11</f>
        <v>0.87347265863185208</v>
      </c>
      <c r="I27" s="48">
        <f>(SQRT(SUMSQ(
(100*I11/H11),
(100*I12/H12)
)))
*0.01*(H12/H11)</f>
        <v>5.6702809142810395E-2</v>
      </c>
      <c r="J27">
        <f>(J12+J14*$L$38)/J11</f>
        <v>0.81536360404467223</v>
      </c>
      <c r="K27" s="48">
        <f>(SQRT(SUMSQ(
(100*K11/J11),
(100*K12/J12)
)))
*0.01*(J12/J11)</f>
        <v>5.155831296998082E-2</v>
      </c>
      <c r="L27">
        <f>(L12+L14*$L$38)/L11</f>
        <v>0.72854959780144102</v>
      </c>
      <c r="M27" s="48">
        <f>(SQRT(SUMSQ(
(100*M11/L11),
(100*M12/L12)
)))
*0.01*(L12/L11)</f>
        <v>0.16943343626844176</v>
      </c>
      <c r="O27">
        <f>(O12+O14*$L$38)/O11</f>
        <v>0.87222923554549681</v>
      </c>
      <c r="P27" s="48">
        <f>(SQRT(SUMSQ(
(100*P11/O11),
(100*P12/O12)
)))
*0.01*(O12/O11)</f>
        <v>5.4587875257240494E-2</v>
      </c>
    </row>
    <row r="28" spans="1:21" x14ac:dyDescent="0.25">
      <c r="A28" s="2" t="s">
        <v>46</v>
      </c>
      <c r="B28">
        <f>(B19+B20*$L$39)/B17</f>
        <v>0.96486378586115951</v>
      </c>
      <c r="C28" s="48">
        <f>(SQRT(SUMSQ(
(100*C17/B17),
(100*C19/B19)
)))
*0.01*(B19/B17)</f>
        <v>9.0084810471839027E-2</v>
      </c>
      <c r="D28">
        <f>(D19+D20*$L$39)/D17</f>
        <v>0.92729458305832402</v>
      </c>
      <c r="E28" s="48">
        <f>(SQRT(SUMSQ(
(100*E17/D17),
(100*E19/D19)
)))
*0.01*(D19/D17)</f>
        <v>4.9403745332064757E-2</v>
      </c>
      <c r="F28">
        <f>(F19+F20*$L$39)/F17</f>
        <v>0.87119199016605475</v>
      </c>
      <c r="G28" s="48">
        <f>(SQRT(SUMSQ(
(100*G17/F17),
(100*G19/F19)
)))
*0.01*(F19/F17)</f>
        <v>6.6573449821195271E-2</v>
      </c>
      <c r="H28">
        <f>(H19+H20*$L$39)/H17</f>
        <v>0.82272394213283306</v>
      </c>
      <c r="I28" s="48">
        <f>(SQRT(SUMSQ(
(100*I17/H17),
(100*I19/H19)
)))
*0.01*(H19/H17)</f>
        <v>8.0507961282812984E-2</v>
      </c>
      <c r="J28">
        <f>(J19+J20*$L$39)/J17</f>
        <v>0.63002948966552752</v>
      </c>
      <c r="K28" s="48">
        <f>(SQRT(SUMSQ(
(100*K17/J17),
(100*K19/J19)
)))
*0.01*(J19/J17)</f>
        <v>6.4189209275303666E-2</v>
      </c>
      <c r="L28">
        <f>(L19+L20*$L$39)/L17</f>
        <v>0.38351536193546021</v>
      </c>
      <c r="M28" s="48">
        <f>(SQRT(SUMSQ(
(100*M17/L17),
(100*M19/L19)
)))
*0.01*(L19/L17)</f>
        <v>1.9019886914359702E-2</v>
      </c>
      <c r="O28">
        <f>(O19+O20*$L$39)/O17</f>
        <v>0.72631168020754533</v>
      </c>
      <c r="P28" s="48">
        <f>(SQRT(SUMSQ(
(100*P17/O17),
(100*P19/O19)
)))
*0.01*(O19/O17)</f>
        <v>6.5423202215598178E-2</v>
      </c>
    </row>
    <row r="29" spans="1:21" x14ac:dyDescent="0.25">
      <c r="A29" s="2"/>
    </row>
    <row r="30" spans="1:21" x14ac:dyDescent="0.25">
      <c r="A30" t="s">
        <v>114</v>
      </c>
      <c r="B30" s="46">
        <v>1</v>
      </c>
      <c r="C30" s="47">
        <f>B30</f>
        <v>1</v>
      </c>
      <c r="D30" s="45">
        <v>2</v>
      </c>
      <c r="E30" s="47">
        <f>D30</f>
        <v>2</v>
      </c>
      <c r="F30" s="45">
        <v>2.8</v>
      </c>
      <c r="G30" s="47">
        <f>F30</f>
        <v>2.8</v>
      </c>
      <c r="H30" s="45">
        <v>4</v>
      </c>
      <c r="I30" s="47">
        <f>H30</f>
        <v>4</v>
      </c>
      <c r="J30" s="45">
        <v>5.6</v>
      </c>
      <c r="K30" s="47">
        <f>J30</f>
        <v>5.6</v>
      </c>
      <c r="L30" s="45">
        <v>8</v>
      </c>
      <c r="M30" s="47">
        <f>L30</f>
        <v>8</v>
      </c>
      <c r="O30" t="s">
        <v>78</v>
      </c>
    </row>
    <row r="31" spans="1:21" x14ac:dyDescent="0.25">
      <c r="A31" s="2" t="s">
        <v>77</v>
      </c>
      <c r="B31">
        <f>(B9+B8+B7*($L$40+$L$41))/(B8+B9+B15+B16+B21+B22+(B20+B14+B7)*($L$40+$L$41))</f>
        <v>0.68875346000336179</v>
      </c>
      <c r="C31" s="48">
        <f>SQRT(SUMSQ((100*(SQRT(SUMSQ(C8,C9,C15,C16,C21,C22)))/(B8+B9+B15+B16+B21+B22)),(100*(SQRT(SUMSQ(C8,C9)))/(B9+B8))))*0.01*((B8+B9)/(B8+B9+B15+B16+B21+B22))</f>
        <v>0.1027959003396802</v>
      </c>
      <c r="D31">
        <f>(D9+D8+D7*($L$40+$L$41))/(D8+D9+D15+D16+D21+D22+(D20+D14+D7)*($L$40+$L$41))</f>
        <v>0.6105149615956118</v>
      </c>
      <c r="E31" s="48">
        <f>SQRT(SUMSQ((100*(SQRT(SUMSQ(E8,E9,E15,E16,E21,E22)))/(D8+D9+D15+D16+D21+D22)),(100*(SQRT(SUMSQ(E8,E9)))/(D9+D8))))*0.01*((D8+D9)/(D8+D9+D15+D16+D21+D22))</f>
        <v>0.34813364283362941</v>
      </c>
      <c r="F31">
        <f>(F9+F8+F7*($L$40+$L$41))/(F8+F9+F15+F16+F21+F22+(F20+F14+F7)*($L$40+$L$41))</f>
        <v>0.38748460525617962</v>
      </c>
      <c r="G31" s="48">
        <f>SQRT(SUMSQ((100*(SQRT(SUMSQ(G8,G9,G15,G16,G21,G22)))/(F8+F9+F15+F16+F21+F22)),(100*(SQRT(SUMSQ(G8,G9)))/(F9+F8))))*0.01*((F8+F9)/(F8+F9+F15+F16+F21+F22))</f>
        <v>3.2879275442264419E-2</v>
      </c>
      <c r="H31">
        <f>(H9+H8+H7*($L$40+$L$41))/(H8+H9+H15+H16+H21+H22+(H20+H14+H7)*($L$40+$L$41))</f>
        <v>0.222737060411935</v>
      </c>
      <c r="I31" s="48">
        <f>SQRT(SUMSQ((100*(SQRT(SUMSQ(I8,I9,I15,I16,I21,I22)))/(H8+H9+H15+H16+H21+H22)),(100*(SQRT(SUMSQ(I8,I9)))/(H9+H8))))*0.01*((H8+H9)/(H8+H9+H15+H16+H21+H22))</f>
        <v>8.4096555625138805E-2</v>
      </c>
      <c r="J31">
        <f>(J9+J8+J7*($L$40+$L$41))/(J8+J9+J15+J16+J21+J22+(J20+J14+J7)*($L$40+$L$41))</f>
        <v>0.13281525761057211</v>
      </c>
      <c r="K31" s="48">
        <f>SQRT(SUMSQ((100*(SQRT(SUMSQ(K8,K9,K15,K16,K21,K22)))/(J8+J9+J15+J16+J21+J22)),(100*(SQRT(SUMSQ(K8,K9)))/(J9+J8))))*0.01*((J8+J9)/(J8+J9+J15+J16+J21+J22))</f>
        <v>5.4878964995853055E-2</v>
      </c>
      <c r="L31">
        <f>(L9+L8+L7*($L$40+$L$41))/(L8+L9+L15+L16+L21+L22+(L20+L14+L7)*($L$40+$L$41))</f>
        <v>5.8420085702020182E-2</v>
      </c>
      <c r="M31" s="48">
        <f>SQRT(SUMSQ((100*(SQRT(SUMSQ(M8,M9,M15,M16,M21,M22)))/(L8+L9+L15+L16+L21+L22)),(100*(SQRT(SUMSQ(M8,M9)))/(L9+L8))))*0.01*((L8+L9)/(L8+L9+L15+L16+L21+L22))</f>
        <v>1.5413395254689382E-2</v>
      </c>
      <c r="O31">
        <f>(O9+O8+O7*($L$40+$L$41))/(O8+O9+O15+O16+O21+O22+(O20+O14+O7)*($L$40+$L$41))</f>
        <v>0.21939650538487368</v>
      </c>
      <c r="P31" s="48">
        <f>SQRT(SUMSQ((100*(SQRT(SUMSQ(P8,P9,P15,P16,P21,P22)))/(O8+O9+O15+O16+O21+O22)),(100*(SQRT(SUMSQ(P8,P9)))/(O9+O8))))*0.01*((O8+O9)/(O8+O9+O15+O16+O21+O22))</f>
        <v>6.4630857258203361E-2</v>
      </c>
    </row>
    <row r="32" spans="1:21" x14ac:dyDescent="0.25">
      <c r="A32" s="2" t="s">
        <v>45</v>
      </c>
      <c r="B32">
        <f>(B12+$L$38*B14)/(B5+B12+B18+(B7+B14+B20)*$L$38)</f>
        <v>0.99183532851100398</v>
      </c>
      <c r="C32" s="48">
        <f>(SQRT(SUMSQ((100*((SQRT(SUMSQ(C5,C12,C18)))/(B5+B12+B18))),(100*C12/B12))))*(C12/(C5+C12+C18))*0.01</f>
        <v>2.6976526580952096E-2</v>
      </c>
      <c r="D32">
        <f>(D12+$L$38*D14)/(D5+D12+D18+(D7+D14+D20)*$L$38)</f>
        <v>0.99108278913307035</v>
      </c>
      <c r="E32" s="48">
        <f>(SQRT(SUMSQ((100*((SQRT(SUMSQ(E5,E12,E18)))/(D5+D12+D18))),(100*E12/D12))))*(E12/(E5+E12+E18))*0.01</f>
        <v>2.1356602599196219E-2</v>
      </c>
      <c r="F32">
        <f>(F12+$L$38*F14)/(F5+F12+F18+(F7+F14+F20)*$L$38)</f>
        <v>0.98985960785107663</v>
      </c>
      <c r="G32" s="48">
        <f>(SQRT(SUMSQ((100*((SQRT(SUMSQ(G5,G12,G18)))/(F5+F12+F18))),(100*G12/F12))))*(G12/(G5+G12+G18))*0.01</f>
        <v>3.108949815008075E-2</v>
      </c>
      <c r="H32">
        <f>(H12+$L$38*H14)/(H5+H12+H18+(H7+H14+H20)*$L$38)</f>
        <v>0.96621016082280153</v>
      </c>
      <c r="I32" s="48">
        <f>(SQRT(SUMSQ((100*((SQRT(SUMSQ(I5,I12,I18)))/(H5+H12+H18))),(100*I12/H12))))*(I12/(I5+I12+I18))*0.01</f>
        <v>7.4273056158786543E-2</v>
      </c>
      <c r="J32">
        <f>(J12+$L$38*J14)/(J5+J12+J18+(J7+J14+J20)*$L$38)</f>
        <v>0.86774247483460787</v>
      </c>
      <c r="K32" s="48">
        <f>(SQRT(SUMSQ((100*((SQRT(SUMSQ(K5,K12,K18)))/(J5+J12+J18))),(100*K12/J12))))*(K12/(K5+K12+K18))*0.01</f>
        <v>4.5227082283513818E-2</v>
      </c>
      <c r="L32">
        <f>(L12+$L$38*L14)/(L5+L12+L18+(L7+L14+L20)*$L$38)</f>
        <v>0.56311987365213045</v>
      </c>
      <c r="M32" s="48">
        <f>(SQRT(SUMSQ((100*((SQRT(SUMSQ(M5,M12,M18)))/(L5+L12+L18))),(100*M12/L12))))*(M12/(M5+M12+M18))*0.01</f>
        <v>0.21250968241123436</v>
      </c>
      <c r="N32" t="str">
        <f>IF(V45=M32,"yes","no")</f>
        <v>no</v>
      </c>
      <c r="O32">
        <f>(O12+$L$38*O14)/(O5+O12+O18+(O7+O14+O20)*$L$38)</f>
        <v>0.91878260507010268</v>
      </c>
      <c r="P32" s="48">
        <f>(SQRT(SUMSQ((100*((SQRT(SUMSQ(P5,P12,P18)))/(O5+O12+O18))),(100*P12/O12))))*(P12/(P5+P12+P18))*0.01</f>
        <v>5.1780030929231648E-2</v>
      </c>
    </row>
    <row r="33" spans="1:16" x14ac:dyDescent="0.25">
      <c r="A33" s="2" t="s">
        <v>46</v>
      </c>
      <c r="B33">
        <f>(B19+B20*$L$39)/(B6+B13+B19+(B7+B14+B20)*$L$39)</f>
        <v>0.93045594564371814</v>
      </c>
      <c r="C33" s="48">
        <f>(SQRT(SUMSQ((100*((SQRT(SUMSQ(C6,C13,C19)))/(B6+B13+B19))),(100*C19/B19))))*(C19/(C6+C13+C19))*0.01</f>
        <v>4.9911011585233318E-2</v>
      </c>
      <c r="D33">
        <f>(D19+D20*$L$39)/(D6+D13+D19+(D7+D14+D20)*$L$39)</f>
        <v>0.9589521136374799</v>
      </c>
      <c r="E33" s="48">
        <f>(SQRT(SUMSQ((100*((SQRT(SUMSQ(E6,E13,E19)))/(D6+D13+D19))),(100*E19/D19))))*(E19/(E6+E13+E19))*0.01</f>
        <v>4.0004805898833082E-2</v>
      </c>
      <c r="F33">
        <f>(F19+F20*$L$39)/(F6+F13+F19+(F7+F14+F20)*$L$39)</f>
        <v>0.9155011017221194</v>
      </c>
      <c r="G33" s="48">
        <f>(SQRT(SUMSQ((100*((SQRT(SUMSQ(G6,G13,G19)))/(F6+F13+F19))),(100*G19/F19))))*(G19/(G6+G13+G19))*0.01</f>
        <v>5.7137851645827908E-2</v>
      </c>
      <c r="H33">
        <f>(H19+H20*$L$39)/(H6+H13+H19+(H7+H14+H20)*$L$39)</f>
        <v>0.8587090290658127</v>
      </c>
      <c r="I33" s="48">
        <f>(SQRT(SUMSQ((100*((SQRT(SUMSQ(I6,I13,I19)))/(H6+H13+H19))),(100*I19/H19))))*(I19/(I6+I13+I19))*0.01</f>
        <v>8.4163948854086471E-2</v>
      </c>
      <c r="J33">
        <f>(J19+J20*$L$39)/(J6+J13+J19+(J7+J14+J20)*$L$39)</f>
        <v>0.81125055232050047</v>
      </c>
      <c r="K33" s="48">
        <f>(SQRT(SUMSQ((100*((SQRT(SUMSQ(K6,K13,K19)))/(J6+J13+J19))),(100*K19/J19))))*(K19/(K6+K13+K19))*0.01</f>
        <v>0.10752528083276099</v>
      </c>
      <c r="L33">
        <f>(L19+L20*$L$39)/(L6+L13+L19+(L7+L14+L20)*$L$39)</f>
        <v>0.83211361295798558</v>
      </c>
      <c r="M33" s="48">
        <f>(SQRT(SUMSQ((100*((SQRT(SUMSQ(M6,M13,M19)))/(L6+L13+L19))),(100*M19/L19))))*(M19/(M6+M13+M19))*0.01</f>
        <v>4.9071396341896591E-2</v>
      </c>
      <c r="O33">
        <f>(O19+O20*$L$39)/(O6+O13+O19+(O7+O14+O20)*$L$39)</f>
        <v>0.86975361539974261</v>
      </c>
      <c r="P33" s="48">
        <f>(SQRT(SUMSQ((100*((SQRT(SUMSQ(P6,P13,P19)))/(O6+O13+O19))),(100*P19/O19))))*(P19/(P6+P13+P19))*0.01</f>
        <v>6.8881721357957615E-2</v>
      </c>
    </row>
    <row r="34" spans="1:16" x14ac:dyDescent="0.25">
      <c r="A34" s="2"/>
    </row>
    <row r="35" spans="1:16" x14ac:dyDescent="0.25">
      <c r="A35" s="2"/>
    </row>
    <row r="36" spans="1:16" x14ac:dyDescent="0.25">
      <c r="A36" s="41"/>
      <c r="B36" t="s">
        <v>62</v>
      </c>
    </row>
    <row r="37" spans="1:16" x14ac:dyDescent="0.25">
      <c r="A37" s="41"/>
      <c r="B37" t="s">
        <v>86</v>
      </c>
      <c r="C37" t="s">
        <v>63</v>
      </c>
      <c r="D37" t="s">
        <v>87</v>
      </c>
      <c r="E37" t="s">
        <v>63</v>
      </c>
      <c r="G37" t="s">
        <v>88</v>
      </c>
      <c r="I37" t="s">
        <v>89</v>
      </c>
      <c r="L37" t="str">
        <f>I37</f>
        <v>Dry Ratio</v>
      </c>
    </row>
    <row r="38" spans="1:16" x14ac:dyDescent="0.25">
      <c r="A38" s="41" t="s">
        <v>45</v>
      </c>
      <c r="B38">
        <f>'R0025_Gen1_Total'!I26</f>
        <v>11.17344579124228</v>
      </c>
      <c r="C38">
        <f>'R0025_Gen1_Total'!J26</f>
        <v>0.90898924923666502</v>
      </c>
      <c r="D38">
        <f>'R0025_Gen1_Total'!K26</f>
        <v>20.499695896148957</v>
      </c>
      <c r="E38">
        <f>'R0025_Gen1_Total'!L26</f>
        <v>1.0636831393524142</v>
      </c>
      <c r="G38">
        <f>B38/SUM(B$38:B$41)</f>
        <v>0.6576205682177434</v>
      </c>
      <c r="I38">
        <f>C38/SUM(C$38:C$41)</f>
        <v>0.39046888194369139</v>
      </c>
      <c r="J38">
        <f>SQRT((SQRT(SUMSQ(E$38:E$41))/SUM(D$38:D$41))^2+(E38/D38)^2)*I38</f>
        <v>2.900990310295757E-2</v>
      </c>
      <c r="L38" s="42">
        <f>I38</f>
        <v>0.39046888194369139</v>
      </c>
      <c r="M38">
        <f>J38</f>
        <v>2.900990310295757E-2</v>
      </c>
    </row>
    <row r="39" spans="1:16" x14ac:dyDescent="0.25">
      <c r="A39" s="41" t="s">
        <v>46</v>
      </c>
      <c r="B39">
        <f>'R0025_Gen1_Total'!I27</f>
        <v>5.4754540524003872</v>
      </c>
      <c r="C39">
        <f>'R0025_Gen1_Total'!J27</f>
        <v>0.81730383106044435</v>
      </c>
      <c r="D39">
        <f>'R0025_Gen1_Total'!K27</f>
        <v>10.883921274804123</v>
      </c>
      <c r="E39">
        <f>'R0025_Gen1_Total'!L27</f>
        <v>0.97687716717221584</v>
      </c>
      <c r="G39">
        <f>B39/SUM(B$38:B$41)</f>
        <v>0.32226148248841591</v>
      </c>
      <c r="I39">
        <f>C39/SUM(C$38:C$41)</f>
        <v>0.35108414471399102</v>
      </c>
      <c r="J39">
        <f t="shared" ref="J39:J41" si="2">SQRT((SQRT(SUMSQ(E$38:E$41))/SUM(D$38:D$41))^2+(E39/D39)^2)*I39</f>
        <v>3.6626041934857842E-2</v>
      </c>
      <c r="L39" s="42">
        <f>I39</f>
        <v>0.35108414471399102</v>
      </c>
      <c r="M39">
        <f t="shared" ref="M39:M41" si="3">J39</f>
        <v>3.6626041934857842E-2</v>
      </c>
    </row>
    <row r="40" spans="1:16" x14ac:dyDescent="0.25">
      <c r="A40" s="41" t="s">
        <v>47</v>
      </c>
      <c r="B40">
        <f>'R0025_Gen1_Total'!I28</f>
        <v>0.3770805936875492</v>
      </c>
      <c r="C40">
        <f>'R0025_Gen1_Total'!J28</f>
        <v>0.48459153958920226</v>
      </c>
      <c r="D40">
        <f>'R0025_Gen1_Total'!K28</f>
        <v>1.2715718187388942</v>
      </c>
      <c r="E40">
        <f>'R0025_Gen1_Total'!L28</f>
        <v>0.61055665657933733</v>
      </c>
      <c r="G40">
        <f>B40/SUM(B$38:B$41)</f>
        <v>2.2193328621959493E-2</v>
      </c>
      <c r="I40">
        <f>C40/SUM(C$38:C$41)</f>
        <v>0.20816298632977889</v>
      </c>
      <c r="J40">
        <f t="shared" si="2"/>
        <v>0.10056234790698004</v>
      </c>
      <c r="L40" s="42">
        <f>I40</f>
        <v>0.20816298632977889</v>
      </c>
      <c r="M40">
        <f t="shared" si="3"/>
        <v>0.10056234790698004</v>
      </c>
    </row>
    <row r="41" spans="1:16" x14ac:dyDescent="0.25">
      <c r="A41" s="41" t="s">
        <v>48</v>
      </c>
      <c r="B41">
        <f>'R0025_Gen1_Total'!I29</f>
        <v>-3.5262185429880688E-2</v>
      </c>
      <c r="C41">
        <f>'R0025_Gen1_Total'!J29</f>
        <v>0.11705824898421777</v>
      </c>
      <c r="D41">
        <f>'R0025_Gen1_Total'!K29</f>
        <v>0.40936324099266708</v>
      </c>
      <c r="E41">
        <f>'R0025_Gen1_Total'!L29</f>
        <v>0.79537561970492365</v>
      </c>
      <c r="G41">
        <f>B41/SUM(B$38:B$41)</f>
        <v>-2.0753793281185614E-3</v>
      </c>
      <c r="I41">
        <f>C41/SUM(C$38:C$41)</f>
        <v>5.0283987012538695E-2</v>
      </c>
      <c r="J41">
        <f t="shared" si="2"/>
        <v>9.7736259293606631E-2</v>
      </c>
      <c r="L41" s="42">
        <f>I41</f>
        <v>5.0283987012538695E-2</v>
      </c>
      <c r="M41">
        <f t="shared" si="3"/>
        <v>9.7736259293606631E-2</v>
      </c>
    </row>
    <row r="42" spans="1:16" x14ac:dyDescent="0.25">
      <c r="A42" s="2"/>
    </row>
    <row r="43" spans="1:16" x14ac:dyDescent="0.25">
      <c r="A43" s="2"/>
    </row>
    <row r="44" spans="1:16" x14ac:dyDescent="0.25">
      <c r="A44" s="53" t="s">
        <v>75</v>
      </c>
      <c r="B44" s="54">
        <f>B25</f>
        <v>1</v>
      </c>
      <c r="C44" s="55">
        <f>D25</f>
        <v>2</v>
      </c>
      <c r="D44" s="55">
        <f>F25</f>
        <v>2.8</v>
      </c>
      <c r="E44" s="55">
        <f>H25</f>
        <v>4</v>
      </c>
      <c r="F44" s="55">
        <f>J25</f>
        <v>5.6</v>
      </c>
      <c r="G44" s="55">
        <f>L25</f>
        <v>8</v>
      </c>
    </row>
    <row r="45" spans="1:16" x14ac:dyDescent="0.25">
      <c r="A45" s="2" t="str">
        <f>A26</f>
        <v>Insulators</v>
      </c>
      <c r="B45" s="51">
        <f>B26*100</f>
        <v>86.950730993054933</v>
      </c>
      <c r="C45" s="52">
        <f>D26*100</f>
        <v>96.74445568316699</v>
      </c>
      <c r="D45" s="52">
        <f>F26*100</f>
        <v>98.911649792877611</v>
      </c>
      <c r="E45" s="52">
        <f>H26*100</f>
        <v>71.379760946477347</v>
      </c>
      <c r="F45" s="52">
        <f>J26*100</f>
        <v>80.382356196957645</v>
      </c>
      <c r="G45" s="52">
        <f>L26*100</f>
        <v>71.573646019963903</v>
      </c>
    </row>
    <row r="46" spans="1:16" x14ac:dyDescent="0.25">
      <c r="A46" s="2" t="str">
        <f>A27</f>
        <v>Cathode</v>
      </c>
      <c r="B46" s="51">
        <f>B27*100</f>
        <v>94.337851873553774</v>
      </c>
      <c r="C46" s="52">
        <f>D27*100</f>
        <v>95.376538525653672</v>
      </c>
      <c r="D46" s="52">
        <f>F27*100</f>
        <v>92.448375316766217</v>
      </c>
      <c r="E46" s="52">
        <f>H27*100</f>
        <v>87.347265863185214</v>
      </c>
      <c r="F46" s="52">
        <f>J27*100</f>
        <v>81.536360404467217</v>
      </c>
      <c r="G46" s="52">
        <f>L27*100</f>
        <v>72.8549597801441</v>
      </c>
    </row>
    <row r="47" spans="1:16" x14ac:dyDescent="0.25">
      <c r="A47" s="2" t="str">
        <f>A28</f>
        <v>Anode</v>
      </c>
      <c r="B47" s="51">
        <f>B28*100</f>
        <v>96.486378586115947</v>
      </c>
      <c r="C47" s="52">
        <f>D28*100</f>
        <v>92.729458305832395</v>
      </c>
      <c r="D47" s="52">
        <f>F28*100</f>
        <v>87.119199016605478</v>
      </c>
      <c r="E47" s="52">
        <f>H28*100</f>
        <v>82.272394213283306</v>
      </c>
      <c r="F47" s="52">
        <f>J28*100</f>
        <v>63.002948966552751</v>
      </c>
      <c r="G47" s="52">
        <f>L28*100</f>
        <v>38.351536193546018</v>
      </c>
    </row>
    <row r="48" spans="1:16" x14ac:dyDescent="0.25">
      <c r="A48" s="2"/>
      <c r="B48" s="52"/>
      <c r="C48" s="52"/>
      <c r="D48" s="52"/>
      <c r="E48" s="52"/>
      <c r="F48" s="52"/>
      <c r="G48" s="52"/>
    </row>
    <row r="49" spans="1:15" x14ac:dyDescent="0.25">
      <c r="A49" s="53" t="s">
        <v>78</v>
      </c>
      <c r="B49" s="54">
        <f>B30</f>
        <v>1</v>
      </c>
      <c r="C49" s="55">
        <f>D30</f>
        <v>2</v>
      </c>
      <c r="D49" s="55">
        <f>F30</f>
        <v>2.8</v>
      </c>
      <c r="E49" s="55">
        <f>H30</f>
        <v>4</v>
      </c>
      <c r="F49" s="55">
        <f>J30</f>
        <v>5.6</v>
      </c>
      <c r="G49" s="55">
        <f>L30</f>
        <v>8</v>
      </c>
    </row>
    <row r="50" spans="1:15" x14ac:dyDescent="0.25">
      <c r="A50" s="2" t="str">
        <f>A31</f>
        <v>Insulators</v>
      </c>
      <c r="B50" s="51">
        <f>B31*100</f>
        <v>68.875346000336179</v>
      </c>
      <c r="C50" s="52">
        <f>D31*100</f>
        <v>61.051496159561182</v>
      </c>
      <c r="D50" s="52">
        <f>F31*100</f>
        <v>38.748460525617965</v>
      </c>
      <c r="E50" s="52">
        <f>H31*100</f>
        <v>22.273706041193499</v>
      </c>
      <c r="F50" s="52">
        <f>J31*100</f>
        <v>13.28152576105721</v>
      </c>
      <c r="G50" s="52">
        <f>L31*100</f>
        <v>5.8420085702020179</v>
      </c>
    </row>
    <row r="51" spans="1:15" x14ac:dyDescent="0.25">
      <c r="A51" s="2" t="str">
        <f>A32</f>
        <v>Cathode</v>
      </c>
      <c r="B51" s="51">
        <f t="shared" ref="B51:B52" si="4">B32*100</f>
        <v>99.183532851100395</v>
      </c>
      <c r="C51" s="52">
        <f>D32*100</f>
        <v>99.108278913307032</v>
      </c>
      <c r="D51" s="52">
        <f>F32*100</f>
        <v>98.985960785107665</v>
      </c>
      <c r="E51" s="52">
        <f>H32*100</f>
        <v>96.62101608228015</v>
      </c>
      <c r="F51" s="52">
        <f>J32*100</f>
        <v>86.774247483460783</v>
      </c>
      <c r="G51" s="52">
        <f>L32*100</f>
        <v>56.311987365213042</v>
      </c>
    </row>
    <row r="52" spans="1:15" x14ac:dyDescent="0.25">
      <c r="A52" s="2" t="str">
        <f>A33</f>
        <v>Anode</v>
      </c>
      <c r="B52" s="51">
        <f t="shared" si="4"/>
        <v>93.045594564371811</v>
      </c>
      <c r="C52" s="52">
        <f>D33*100</f>
        <v>95.89521136374799</v>
      </c>
      <c r="D52" s="52">
        <f>F33*100</f>
        <v>91.550110172211944</v>
      </c>
      <c r="E52" s="52">
        <f>H33*100</f>
        <v>85.870902906581264</v>
      </c>
      <c r="F52" s="52">
        <f>J33*100</f>
        <v>81.125055232050045</v>
      </c>
      <c r="G52" s="52">
        <f>L33*100</f>
        <v>83.211361295798554</v>
      </c>
    </row>
    <row r="53" spans="1:15" x14ac:dyDescent="0.25">
      <c r="A53" s="2"/>
    </row>
    <row r="54" spans="1:15" x14ac:dyDescent="0.25">
      <c r="A54" s="53" t="s">
        <v>117</v>
      </c>
      <c r="B54" s="56">
        <f>C25</f>
        <v>1</v>
      </c>
      <c r="C54" s="56">
        <f>E25</f>
        <v>2</v>
      </c>
      <c r="D54" s="56">
        <f>G25</f>
        <v>2.8</v>
      </c>
      <c r="E54" s="56">
        <f>I25</f>
        <v>4</v>
      </c>
      <c r="F54" s="56">
        <f>K25</f>
        <v>5.6</v>
      </c>
      <c r="G54" s="56">
        <f>M25</f>
        <v>8</v>
      </c>
    </row>
    <row r="55" spans="1:15" x14ac:dyDescent="0.25">
      <c r="A55" s="2" t="str">
        <f>A26&amp;"-err"</f>
        <v>Insulators-err</v>
      </c>
      <c r="B55" s="40">
        <f>C26*100</f>
        <v>12.198374244977828</v>
      </c>
      <c r="C55" s="40">
        <f>E26*100</f>
        <v>52.808604472067699</v>
      </c>
      <c r="D55" s="40">
        <f>G26*100</f>
        <v>7.4350780753224894</v>
      </c>
      <c r="E55" s="40">
        <f>I26*100</f>
        <v>9.5008196927029616</v>
      </c>
      <c r="F55" s="40">
        <f>K26*100</f>
        <v>26.56891771629687</v>
      </c>
      <c r="G55" s="40">
        <f>M26*100</f>
        <v>34.401911732185816</v>
      </c>
    </row>
    <row r="56" spans="1:15" x14ac:dyDescent="0.25">
      <c r="A56" s="2" t="str">
        <f>A27&amp;"-err"</f>
        <v>Cathode-err</v>
      </c>
      <c r="B56" s="40">
        <f t="shared" ref="B56:B57" si="5">C27*100</f>
        <v>5.1636787411003855</v>
      </c>
      <c r="C56" s="40">
        <f>E27*100</f>
        <v>1.9350112837430009</v>
      </c>
      <c r="D56" s="40">
        <f>G27*100</f>
        <v>3.5790736438407849</v>
      </c>
      <c r="E56" s="40">
        <f>I27*100</f>
        <v>5.6702809142810393</v>
      </c>
      <c r="F56" s="40">
        <f>K27*100</f>
        <v>5.1558312969980822</v>
      </c>
      <c r="G56" s="40">
        <f>M27*100</f>
        <v>16.943343626844175</v>
      </c>
    </row>
    <row r="57" spans="1:15" x14ac:dyDescent="0.25">
      <c r="A57" s="2" t="str">
        <f>A28&amp;"-err"</f>
        <v>Anode-err</v>
      </c>
      <c r="B57" s="40">
        <f t="shared" si="5"/>
        <v>9.0084810471839027</v>
      </c>
      <c r="C57" s="40">
        <f>E28*100</f>
        <v>4.9403745332064757</v>
      </c>
      <c r="D57" s="40">
        <f>G28*100</f>
        <v>6.6573449821195272</v>
      </c>
      <c r="E57" s="40">
        <f>I28*100</f>
        <v>8.0507961282812985</v>
      </c>
      <c r="F57" s="40">
        <f>K28*100</f>
        <v>6.4189209275303662</v>
      </c>
      <c r="G57" s="40">
        <f>M28*100</f>
        <v>1.9019886914359703</v>
      </c>
    </row>
    <row r="58" spans="1:15" x14ac:dyDescent="0.25">
      <c r="A58" s="2"/>
    </row>
    <row r="59" spans="1:15" x14ac:dyDescent="0.25">
      <c r="A59" s="53" t="s">
        <v>118</v>
      </c>
      <c r="B59" s="56">
        <f>C30</f>
        <v>1</v>
      </c>
      <c r="C59" s="56">
        <f>E30</f>
        <v>2</v>
      </c>
      <c r="D59" s="56">
        <f>G30</f>
        <v>2.8</v>
      </c>
      <c r="E59" s="56">
        <f>I30</f>
        <v>4</v>
      </c>
      <c r="F59" s="56">
        <f>K30</f>
        <v>5.6</v>
      </c>
      <c r="G59" s="56">
        <f>M30</f>
        <v>8</v>
      </c>
    </row>
    <row r="60" spans="1:15" x14ac:dyDescent="0.25">
      <c r="A60" s="2" t="str">
        <f>A31&amp;"-err"</f>
        <v>Insulators-err</v>
      </c>
      <c r="B60" s="40">
        <f>C31*100</f>
        <v>10.27959003396802</v>
      </c>
      <c r="C60" s="40">
        <f>E31*100</f>
        <v>34.813364283362944</v>
      </c>
      <c r="D60" s="40">
        <f>G31*100</f>
        <v>3.287927544226442</v>
      </c>
      <c r="E60" s="40">
        <f>I31*100</f>
        <v>8.4096555625138798</v>
      </c>
      <c r="F60" s="40">
        <f>K31*100</f>
        <v>5.4878964995853057</v>
      </c>
      <c r="G60" s="40">
        <f>M31*100</f>
        <v>1.5413395254689382</v>
      </c>
    </row>
    <row r="61" spans="1:15" x14ac:dyDescent="0.25">
      <c r="A61" s="2" t="str">
        <f>A32&amp;"-err"</f>
        <v>Cathode-err</v>
      </c>
      <c r="B61" s="40">
        <f t="shared" ref="B61:B62" si="6">C32*100</f>
        <v>2.6976526580952096</v>
      </c>
      <c r="C61" s="40">
        <f>E32*100</f>
        <v>2.1356602599196219</v>
      </c>
      <c r="D61" s="40">
        <f>G32*100</f>
        <v>3.1089498150080752</v>
      </c>
      <c r="E61" s="40">
        <f>I32*100</f>
        <v>7.4273056158786543</v>
      </c>
      <c r="F61" s="40">
        <f>K32*100</f>
        <v>4.522708228351382</v>
      </c>
      <c r="G61" s="40">
        <f>M32*100</f>
        <v>21.250968241123434</v>
      </c>
    </row>
    <row r="62" spans="1:15" x14ac:dyDescent="0.25">
      <c r="A62" s="2" t="str">
        <f>A33&amp;"-err"</f>
        <v>Anode-err</v>
      </c>
      <c r="B62" s="40">
        <f t="shared" si="6"/>
        <v>4.9911011585233318</v>
      </c>
      <c r="C62" s="40">
        <f>E33*100</f>
        <v>4.000480589883308</v>
      </c>
      <c r="D62" s="40">
        <f>G33*100</f>
        <v>5.7137851645827906</v>
      </c>
      <c r="E62" s="40">
        <f>I33*100</f>
        <v>8.4163948854086463</v>
      </c>
      <c r="F62" s="40">
        <f>K33*100</f>
        <v>10.752528083276099</v>
      </c>
      <c r="G62" s="40">
        <f>M33*100</f>
        <v>4.9071396341896589</v>
      </c>
    </row>
    <row r="63" spans="1:15" x14ac:dyDescent="0.25">
      <c r="A63" s="2"/>
      <c r="J63" t="s">
        <v>75</v>
      </c>
      <c r="M63" t="s">
        <v>78</v>
      </c>
    </row>
    <row r="64" spans="1:15" x14ac:dyDescent="0.25">
      <c r="A64" s="2" t="str">
        <f t="array" ref="A64:D70">TRANSPOSE(A44:G47)</f>
        <v>Grade</v>
      </c>
      <c r="B64" t="str">
        <v>Insulators</v>
      </c>
      <c r="C64" t="str">
        <v>Cathode</v>
      </c>
      <c r="D64" t="str">
        <v>Anode</v>
      </c>
      <c r="E64" t="str">
        <f t="array" ref="E64:G70">TRANSPOSE(A55:G57)</f>
        <v>Insulators-err</v>
      </c>
      <c r="F64" t="str">
        <v>Cathode-err</v>
      </c>
      <c r="G64" t="str">
        <v>Anode-err</v>
      </c>
      <c r="I64" t="s">
        <v>227</v>
      </c>
      <c r="J64" t="s">
        <v>77</v>
      </c>
      <c r="K64" t="s">
        <v>45</v>
      </c>
      <c r="L64" t="s">
        <v>46</v>
      </c>
      <c r="M64" t="s">
        <v>77</v>
      </c>
      <c r="N64" t="s">
        <v>45</v>
      </c>
      <c r="O64" t="s">
        <v>46</v>
      </c>
    </row>
    <row r="65" spans="1:15" x14ac:dyDescent="0.25">
      <c r="A65" s="2">
        <v>1</v>
      </c>
      <c r="B65" s="40">
        <v>86.950730993054933</v>
      </c>
      <c r="C65" s="40">
        <v>94.337851873553774</v>
      </c>
      <c r="D65" s="40">
        <v>96.486378586115947</v>
      </c>
      <c r="E65" s="40">
        <v>12.198374244977828</v>
      </c>
      <c r="F65" s="40">
        <v>5.1636787411003855</v>
      </c>
      <c r="G65" s="40">
        <v>9.0084810471839027</v>
      </c>
      <c r="I65" s="96" t="s">
        <v>224</v>
      </c>
      <c r="J65" t="str">
        <f>ROUND(B65,1)&amp;" ± "&amp;ROUND(E65,1)</f>
        <v>87 ± 12.2</v>
      </c>
      <c r="K65" t="str">
        <f>ROUND(C65,1)&amp;" ± "&amp;ROUND(F65,1)</f>
        <v>94.3 ± 5.2</v>
      </c>
      <c r="L65" t="str">
        <f>ROUND(D65,1)&amp;" ± "&amp;ROUND(G65,1)</f>
        <v>96.5 ± 9</v>
      </c>
      <c r="M65" t="str">
        <f t="shared" ref="M65:O70" si="7">ROUND(B73,1)&amp;" ± "&amp;ROUND(E73,1)</f>
        <v>68.9 ± 10.3</v>
      </c>
      <c r="N65" t="str">
        <f t="shared" si="7"/>
        <v>99.2 ± 2.7</v>
      </c>
      <c r="O65" t="str">
        <f t="shared" si="7"/>
        <v>93 ± 5</v>
      </c>
    </row>
    <row r="66" spans="1:15" x14ac:dyDescent="0.25">
      <c r="A66" s="2">
        <v>2</v>
      </c>
      <c r="B66" s="40">
        <v>96.74445568316699</v>
      </c>
      <c r="C66" s="40">
        <v>95.376538525653672</v>
      </c>
      <c r="D66" s="40">
        <v>92.729458305832395</v>
      </c>
      <c r="E66" s="40">
        <v>52.808604472067699</v>
      </c>
      <c r="F66" s="40">
        <v>1.9350112837430009</v>
      </c>
      <c r="G66" s="40">
        <v>4.9403745332064757</v>
      </c>
      <c r="I66" s="44" t="s">
        <v>223</v>
      </c>
      <c r="J66" t="str">
        <f t="shared" ref="J66:L70" si="8">ROUND(B66,1)&amp;" ± "&amp;ROUND(E66,1)</f>
        <v>96.7 ± 52.8</v>
      </c>
      <c r="K66" t="str">
        <f t="shared" si="8"/>
        <v>95.4 ± 1.9</v>
      </c>
      <c r="L66" t="str">
        <f t="shared" si="8"/>
        <v>92.7 ± 4.9</v>
      </c>
      <c r="M66" t="str">
        <f t="shared" si="7"/>
        <v>61.1 ± 34.8</v>
      </c>
      <c r="N66" t="str">
        <f t="shared" si="7"/>
        <v>99.1 ± 2.1</v>
      </c>
      <c r="O66" t="str">
        <f t="shared" si="7"/>
        <v>95.9 ± 4</v>
      </c>
    </row>
    <row r="67" spans="1:15" x14ac:dyDescent="0.25">
      <c r="A67" s="2">
        <v>2.8</v>
      </c>
      <c r="B67" s="40">
        <v>98.911649792877611</v>
      </c>
      <c r="C67" s="40">
        <v>92.448375316766217</v>
      </c>
      <c r="D67" s="40">
        <v>87.119199016605478</v>
      </c>
      <c r="E67" s="40">
        <v>7.4350780753224894</v>
      </c>
      <c r="F67" s="40">
        <v>3.5790736438407849</v>
      </c>
      <c r="G67" s="40">
        <v>6.6573449821195272</v>
      </c>
      <c r="I67" s="44" t="s">
        <v>222</v>
      </c>
      <c r="J67" t="str">
        <f t="shared" si="8"/>
        <v>98.9 ± 7.4</v>
      </c>
      <c r="K67" t="str">
        <f t="shared" si="8"/>
        <v>92.4 ± 3.6</v>
      </c>
      <c r="L67" t="str">
        <f t="shared" si="8"/>
        <v>87.1 ± 6.7</v>
      </c>
      <c r="M67" t="str">
        <f t="shared" si="7"/>
        <v>38.7 ± 3.3</v>
      </c>
      <c r="N67" t="str">
        <f t="shared" si="7"/>
        <v>99 ± 3.1</v>
      </c>
      <c r="O67" t="str">
        <f t="shared" si="7"/>
        <v>91.6 ± 5.7</v>
      </c>
    </row>
    <row r="68" spans="1:15" x14ac:dyDescent="0.25">
      <c r="A68" s="2">
        <v>4</v>
      </c>
      <c r="B68" s="40">
        <v>71.379760946477347</v>
      </c>
      <c r="C68" s="40">
        <v>87.347265863185214</v>
      </c>
      <c r="D68" s="40">
        <v>82.272394213283306</v>
      </c>
      <c r="E68" s="40">
        <v>9.5008196927029616</v>
      </c>
      <c r="F68" s="40">
        <v>5.6702809142810393</v>
      </c>
      <c r="G68" s="40">
        <v>8.0507961282812985</v>
      </c>
      <c r="I68" s="44" t="s">
        <v>221</v>
      </c>
      <c r="J68" t="str">
        <f t="shared" si="8"/>
        <v>71.4 ± 9.5</v>
      </c>
      <c r="K68" t="str">
        <f t="shared" si="8"/>
        <v>87.3 ± 5.7</v>
      </c>
      <c r="L68" t="str">
        <f t="shared" si="8"/>
        <v>82.3 ± 8.1</v>
      </c>
      <c r="M68" t="str">
        <f t="shared" si="7"/>
        <v>22.3 ± 8.4</v>
      </c>
      <c r="N68" t="str">
        <f t="shared" si="7"/>
        <v>96.6 ± 7.4</v>
      </c>
      <c r="O68" t="str">
        <f t="shared" si="7"/>
        <v>85.9 ± 8.4</v>
      </c>
    </row>
    <row r="69" spans="1:15" x14ac:dyDescent="0.25">
      <c r="A69" s="2">
        <v>5.6</v>
      </c>
      <c r="B69" s="40">
        <v>80.382356196957645</v>
      </c>
      <c r="C69" s="40">
        <v>81.536360404467217</v>
      </c>
      <c r="D69" s="40">
        <v>63.002948966552751</v>
      </c>
      <c r="E69" s="40">
        <v>26.56891771629687</v>
      </c>
      <c r="F69" s="40">
        <v>5.1558312969980822</v>
      </c>
      <c r="G69" s="40">
        <v>6.4189209275303662</v>
      </c>
      <c r="I69" s="44" t="s">
        <v>220</v>
      </c>
      <c r="J69" t="str">
        <f t="shared" si="8"/>
        <v>80.4 ± 26.6</v>
      </c>
      <c r="K69" t="str">
        <f t="shared" si="8"/>
        <v>81.5 ± 5.2</v>
      </c>
      <c r="L69" t="str">
        <f t="shared" si="8"/>
        <v>63 ± 6.4</v>
      </c>
      <c r="M69" t="str">
        <f t="shared" si="7"/>
        <v>13.3 ± 5.5</v>
      </c>
      <c r="N69" t="str">
        <f t="shared" si="7"/>
        <v>86.8 ± 4.5</v>
      </c>
      <c r="O69" t="str">
        <f t="shared" si="7"/>
        <v>81.1 ± 10.8</v>
      </c>
    </row>
    <row r="70" spans="1:15" x14ac:dyDescent="0.25">
      <c r="A70" s="2">
        <v>8</v>
      </c>
      <c r="B70" s="40">
        <v>71.573646019963903</v>
      </c>
      <c r="C70" s="40">
        <v>72.8549597801441</v>
      </c>
      <c r="D70" s="40">
        <v>38.351536193546018</v>
      </c>
      <c r="E70" s="40">
        <v>34.401911732185816</v>
      </c>
      <c r="F70" s="40">
        <v>16.943343626844175</v>
      </c>
      <c r="G70" s="40">
        <v>1.9019886914359703</v>
      </c>
      <c r="I70" s="44" t="s">
        <v>219</v>
      </c>
      <c r="J70" t="str">
        <f t="shared" si="8"/>
        <v>71.6 ± 34.4</v>
      </c>
      <c r="K70" t="str">
        <f t="shared" si="8"/>
        <v>72.9 ± 16.9</v>
      </c>
      <c r="L70" t="str">
        <f t="shared" si="8"/>
        <v>38.4 ± 1.9</v>
      </c>
      <c r="M70" t="str">
        <f t="shared" si="7"/>
        <v>5.8 ± 1.5</v>
      </c>
      <c r="N70" t="str">
        <f t="shared" si="7"/>
        <v>56.3 ± 21.3</v>
      </c>
      <c r="O70" t="str">
        <f t="shared" si="7"/>
        <v>83.2 ± 4.9</v>
      </c>
    </row>
    <row r="71" spans="1:15" x14ac:dyDescent="0.25">
      <c r="A71" s="2"/>
    </row>
    <row r="72" spans="1:15" x14ac:dyDescent="0.25">
      <c r="A72" s="2" t="str">
        <f t="array" ref="A72:D78">TRANSPOSE(A49:G52)</f>
        <v>Recovery</v>
      </c>
      <c r="B72" t="str">
        <v>Insulators</v>
      </c>
      <c r="C72" t="str">
        <v>Cathode</v>
      </c>
      <c r="D72" t="str">
        <v>Anode</v>
      </c>
      <c r="E72" t="str">
        <f t="array" ref="E72:G78">TRANSPOSE(A60:G62)</f>
        <v>Insulators-err</v>
      </c>
      <c r="F72" t="str">
        <v>Cathode-err</v>
      </c>
      <c r="G72" t="str">
        <v>Anode-err</v>
      </c>
    </row>
    <row r="73" spans="1:15" x14ac:dyDescent="0.25">
      <c r="A73" s="2">
        <v>1</v>
      </c>
      <c r="B73" s="40">
        <v>68.875346000336179</v>
      </c>
      <c r="C73" s="40">
        <v>99.183532851100395</v>
      </c>
      <c r="D73" s="40">
        <v>93.045594564371811</v>
      </c>
      <c r="E73" s="40">
        <v>10.27959003396802</v>
      </c>
      <c r="F73" s="40">
        <v>2.6976526580952096</v>
      </c>
      <c r="G73" s="40">
        <v>4.9911011585233318</v>
      </c>
    </row>
    <row r="74" spans="1:15" x14ac:dyDescent="0.25">
      <c r="A74" s="2">
        <v>2</v>
      </c>
      <c r="B74" s="40">
        <v>61.051496159561182</v>
      </c>
      <c r="C74" s="40">
        <v>99.108278913307032</v>
      </c>
      <c r="D74" s="40">
        <v>95.89521136374799</v>
      </c>
      <c r="E74" s="40">
        <v>34.813364283362944</v>
      </c>
      <c r="F74" s="40">
        <v>2.1356602599196219</v>
      </c>
      <c r="G74" s="40">
        <v>4.000480589883308</v>
      </c>
    </row>
    <row r="75" spans="1:15" x14ac:dyDescent="0.25">
      <c r="A75" s="2">
        <v>2.8</v>
      </c>
      <c r="B75" s="40">
        <v>38.748460525617965</v>
      </c>
      <c r="C75" s="40">
        <v>98.985960785107665</v>
      </c>
      <c r="D75" s="40">
        <v>91.550110172211944</v>
      </c>
      <c r="E75" s="40">
        <v>3.287927544226442</v>
      </c>
      <c r="F75" s="40">
        <v>3.1089498150080752</v>
      </c>
      <c r="G75" s="40">
        <v>5.7137851645827906</v>
      </c>
    </row>
    <row r="76" spans="1:15" x14ac:dyDescent="0.25">
      <c r="A76" s="2">
        <v>4</v>
      </c>
      <c r="B76" s="40">
        <v>22.273706041193499</v>
      </c>
      <c r="C76" s="40">
        <v>96.62101608228015</v>
      </c>
      <c r="D76" s="40">
        <v>85.870902906581264</v>
      </c>
      <c r="E76" s="40">
        <v>8.4096555625138798</v>
      </c>
      <c r="F76" s="40">
        <v>7.4273056158786543</v>
      </c>
      <c r="G76" s="40">
        <v>8.4163948854086463</v>
      </c>
    </row>
    <row r="77" spans="1:15" x14ac:dyDescent="0.25">
      <c r="A77" s="2">
        <v>5.6</v>
      </c>
      <c r="B77" s="40">
        <v>13.28152576105721</v>
      </c>
      <c r="C77" s="40">
        <v>86.774247483460783</v>
      </c>
      <c r="D77" s="40">
        <v>81.125055232050045</v>
      </c>
      <c r="E77" s="40">
        <v>5.4878964995853057</v>
      </c>
      <c r="F77" s="40">
        <v>4.522708228351382</v>
      </c>
      <c r="G77" s="40">
        <v>10.752528083276099</v>
      </c>
    </row>
    <row r="78" spans="1:15" x14ac:dyDescent="0.25">
      <c r="A78" s="2">
        <v>8</v>
      </c>
      <c r="B78" s="40">
        <v>5.8420085702020179</v>
      </c>
      <c r="C78" s="40">
        <v>56.311987365213042</v>
      </c>
      <c r="D78" s="40">
        <v>83.211361295798554</v>
      </c>
      <c r="E78" s="40">
        <v>1.5413395254689382</v>
      </c>
      <c r="F78" s="40">
        <v>21.250968241123434</v>
      </c>
      <c r="G78" s="40">
        <v>4.9071396341896589</v>
      </c>
    </row>
  </sheetData>
  <mergeCells count="7">
    <mergeCell ref="O1:P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BD48-CFC0-4998-BF8F-BC7E20A0D57E}">
  <sheetPr codeName="Sheet27">
    <tabColor rgb="FFFF0000"/>
  </sheetPr>
  <dimension ref="A1:Y93"/>
  <sheetViews>
    <sheetView workbookViewId="0">
      <selection activeCell="B12" sqref="B12"/>
    </sheetView>
  </sheetViews>
  <sheetFormatPr defaultRowHeight="15" x14ac:dyDescent="0.25"/>
  <cols>
    <col min="1" max="1" width="8.5703125" style="2" customWidth="1"/>
    <col min="2" max="20" width="8.5703125" customWidth="1"/>
  </cols>
  <sheetData>
    <row r="1" spans="1:16" x14ac:dyDescent="0.25">
      <c r="B1" s="99" t="s">
        <v>22</v>
      </c>
      <c r="C1" s="100"/>
      <c r="D1" s="98" t="s">
        <v>23</v>
      </c>
      <c r="E1" s="98"/>
      <c r="F1" s="98" t="s">
        <v>24</v>
      </c>
      <c r="G1" s="98"/>
      <c r="H1" s="98" t="s">
        <v>25</v>
      </c>
      <c r="I1" s="98"/>
      <c r="J1" s="98" t="s">
        <v>4</v>
      </c>
      <c r="K1" s="98"/>
      <c r="L1" s="98" t="s">
        <v>5</v>
      </c>
      <c r="M1" s="98"/>
      <c r="O1" s="98" t="s">
        <v>74</v>
      </c>
      <c r="P1" s="98"/>
    </row>
    <row r="2" spans="1:16" x14ac:dyDescent="0.25">
      <c r="B2" s="16" t="s">
        <v>52</v>
      </c>
      <c r="C2" s="16" t="s">
        <v>27</v>
      </c>
      <c r="D2" s="16" t="s">
        <v>52</v>
      </c>
      <c r="E2" t="s">
        <v>27</v>
      </c>
      <c r="F2" s="16" t="s">
        <v>52</v>
      </c>
      <c r="G2" t="s">
        <v>27</v>
      </c>
      <c r="H2" s="16" t="s">
        <v>52</v>
      </c>
      <c r="I2" t="s">
        <v>27</v>
      </c>
      <c r="J2" s="16" t="s">
        <v>52</v>
      </c>
      <c r="K2" t="s">
        <v>27</v>
      </c>
      <c r="L2" s="16" t="s">
        <v>52</v>
      </c>
      <c r="M2" t="s">
        <v>27</v>
      </c>
      <c r="O2" s="16" t="s">
        <v>52</v>
      </c>
      <c r="P2" t="s">
        <v>27</v>
      </c>
    </row>
    <row r="3" spans="1:16" s="9" customFormat="1" x14ac:dyDescent="0.25">
      <c r="A3" s="13" t="s">
        <v>19</v>
      </c>
      <c r="B3" s="21">
        <f>('R0025_Gen1_Averages'!B3)*('R0025_Gen1_Liberation'!$C$8/100)</f>
        <v>7.4349998802576849</v>
      </c>
      <c r="C3" s="21">
        <f>('R0025_Gen1_Averages'!C3)*('R0025_Gen1_Liberation'!$C$8/100)</f>
        <v>0</v>
      </c>
      <c r="D3" s="21">
        <f>'R0025_Gen1_Averages'!D3*('R0025_Gen1_Liberation'!$C$7/100)</f>
        <v>7.5268023214043387</v>
      </c>
      <c r="E3" s="21">
        <f>'R0025_Gen1_Averages'!E3*('R0025_Gen1_Liberation'!$C$7/100)</f>
        <v>0</v>
      </c>
      <c r="F3" s="21">
        <f>'R0025_Gen1_Averages'!F3*('R0025_Gen1_Liberation'!$C$6/100)</f>
        <v>13.477995353998196</v>
      </c>
      <c r="G3" s="21">
        <f>'R0025_Gen1_Averages'!G3*('R0025_Gen1_Liberation'!$C$6/100)</f>
        <v>0</v>
      </c>
      <c r="H3" s="21">
        <f>'R0025_Gen1_Averages'!H3*('R0025_Gen1_Liberation'!$C$5/100)</f>
        <v>22.575417701107213</v>
      </c>
      <c r="I3" s="21">
        <f>'R0025_Gen1_Averages'!I3*('R0025_Gen1_Liberation'!$C$5/100)</f>
        <v>0</v>
      </c>
      <c r="J3" s="21">
        <f>'R0025_Gen1_Averages'!J3*('R0025_Gen1_Liberation'!$C$4/100)</f>
        <v>23.966424255003233</v>
      </c>
      <c r="K3" s="21">
        <f>'R0025_Gen1_Averages'!K3*('R0025_Gen1_Liberation'!$C$4/100)</f>
        <v>0</v>
      </c>
      <c r="L3" s="21">
        <f>'R0025_Gen1_Averages'!L3*('R0025_Gen1_Liberation'!$C$3/100)</f>
        <v>7.6904501512744572</v>
      </c>
      <c r="M3" s="21">
        <f>'R0025_Gen1_Averages'!M3*('R0025_Gen1_Liberation'!$C$3/100)</f>
        <v>0</v>
      </c>
      <c r="O3" s="21">
        <f>SUM(B3,D3,F3,H3,J3,L3)</f>
        <v>82.672089663045128</v>
      </c>
      <c r="P3" s="9">
        <f t="shared" ref="P3:P22" si="0">SQRT(SUMSQ(C3,E3,G3,I3,K3,M3))</f>
        <v>0</v>
      </c>
    </row>
    <row r="4" spans="1:16" s="24" customFormat="1" x14ac:dyDescent="0.25">
      <c r="A4" s="22" t="s">
        <v>12</v>
      </c>
      <c r="B4" s="23">
        <f>'R0025_Gen1_Averages'!B4*('R0025_Gen1_Liberation'!$C$8/100)</f>
        <v>0.3210284586075382</v>
      </c>
      <c r="C4" s="23">
        <f>('R0025_Gen1_Averages'!C4)*('R0025_Gen1_Liberation'!$C$8/100)</f>
        <v>2.9059106590971304E-2</v>
      </c>
      <c r="D4" s="23">
        <f>'R0025_Gen1_Averages'!D4*('R0025_Gen1_Liberation'!$C$7/100)</f>
        <v>0.43496294007686237</v>
      </c>
      <c r="E4" s="23">
        <f>'R0025_Gen1_Averages'!E4*('R0025_Gen1_Liberation'!$C$7/100)</f>
        <v>0.15730749414209427</v>
      </c>
      <c r="F4" s="23">
        <f>'R0025_Gen1_Averages'!F4*('R0025_Gen1_Liberation'!$C$6/100)</f>
        <v>0.49804262048273618</v>
      </c>
      <c r="G4" s="23">
        <f>'R0025_Gen1_Averages'!G4*('R0025_Gen1_Liberation'!$C$6/100)</f>
        <v>2.8257636163378154E-2</v>
      </c>
      <c r="H4" s="23">
        <f>'R0025_Gen1_Averages'!H4*('R0025_Gen1_Liberation'!$C$5/100)</f>
        <v>0.75415091984072036</v>
      </c>
      <c r="I4" s="23">
        <f>'R0025_Gen1_Averages'!I4*('R0025_Gen1_Liberation'!$C$5/100)</f>
        <v>1.835057455556819E-2</v>
      </c>
      <c r="J4" s="23">
        <f>'R0025_Gen1_Averages'!J4*('R0025_Gen1_Liberation'!$C$4/100)</f>
        <v>0.60793561970672705</v>
      </c>
      <c r="K4" s="23">
        <f>'R0025_Gen1_Averages'!K4*('R0025_Gen1_Liberation'!$C$4/100)</f>
        <v>0.18794077458120154</v>
      </c>
      <c r="L4" s="23">
        <f>'R0025_Gen1_Averages'!L4*('R0025_Gen1_Liberation'!$C$3/100)</f>
        <v>0.18406202363463303</v>
      </c>
      <c r="M4" s="23">
        <f>'R0025_Gen1_Averages'!M4*('R0025_Gen1_Liberation'!$C$3/100)</f>
        <v>9.8230717461934333E-2</v>
      </c>
      <c r="O4" s="23">
        <f>SUM(B4,D4,F4,H4,J4,L4)</f>
        <v>2.8001825823492172</v>
      </c>
      <c r="P4" s="24">
        <f t="shared" si="0"/>
        <v>0.26776169550639645</v>
      </c>
    </row>
    <row r="5" spans="1:16" x14ac:dyDescent="0.25">
      <c r="A5" s="2" t="s">
        <v>8</v>
      </c>
      <c r="B5" s="16">
        <f>'R0025_Gen1_Averages'!B5*('R0025_Gen1_Liberation'!$C$8/100)</f>
        <v>5.3467754242359526E-3</v>
      </c>
      <c r="C5" s="16">
        <f>('R0025_Gen1_Averages'!C5)*('R0025_Gen1_Liberation'!$C$8/100)</f>
        <v>1.8267783676979758E-3</v>
      </c>
      <c r="D5" s="16">
        <f>'R0025_Gen1_Averages'!D5*('R0025_Gen1_Liberation'!$C$7/100)</f>
        <v>4.2044854971706822E-3</v>
      </c>
      <c r="E5" s="16">
        <f>'R0025_Gen1_Averages'!E5*('R0025_Gen1_Liberation'!$C$7/100)</f>
        <v>4.4172416671277616E-3</v>
      </c>
      <c r="F5" s="16">
        <f>'R0025_Gen1_Averages'!F5*('R0025_Gen1_Liberation'!$C$6/100)</f>
        <v>4.3271055612048217E-3</v>
      </c>
      <c r="G5" s="16">
        <f>'R0025_Gen1_Averages'!G5*('R0025_Gen1_Liberation'!$C$6/100)</f>
        <v>5.3568610062238991E-3</v>
      </c>
      <c r="H5" s="16">
        <f>'R0025_Gen1_Averages'!H5*('R0025_Gen1_Liberation'!$C$5/100)</f>
        <v>9.6925794450515593E-2</v>
      </c>
      <c r="I5" s="16">
        <f>'R0025_Gen1_Averages'!I5*('R0025_Gen1_Liberation'!$C$5/100)</f>
        <v>5.0003804495878962E-2</v>
      </c>
      <c r="J5" s="16">
        <f>'R0025_Gen1_Averages'!J5*('R0025_Gen1_Liberation'!$C$4/100)</f>
        <v>2.459560583673568E-2</v>
      </c>
      <c r="K5" s="16">
        <f>'R0025_Gen1_Averages'!K5*('R0025_Gen1_Liberation'!$C$4/100)</f>
        <v>4.2600838952163829E-2</v>
      </c>
      <c r="L5" s="16">
        <f>'R0025_Gen1_Averages'!L5*('R0025_Gen1_Liberation'!$C$3/100)</f>
        <v>0</v>
      </c>
      <c r="M5" s="16">
        <f>'R0025_Gen1_Averages'!M5*('R0025_Gen1_Liberation'!$C$3/100)</f>
        <v>0</v>
      </c>
      <c r="O5" s="16">
        <f>SUM(B5,D5,F5,H5,J5,L5)</f>
        <v>0.13539976676986273</v>
      </c>
      <c r="P5" s="16">
        <f t="shared" si="0"/>
        <v>6.6081442527238951E-2</v>
      </c>
    </row>
    <row r="6" spans="1:16" x14ac:dyDescent="0.25">
      <c r="A6" s="2" t="s">
        <v>6</v>
      </c>
      <c r="B6" s="16">
        <f>'R0025_Gen1_Averages'!B6*('R0025_Gen1_Liberation'!$C$8/100)</f>
        <v>3.4181999990050942E-2</v>
      </c>
      <c r="C6" s="16">
        <f>('R0025_Gen1_Averages'!C6)*('R0025_Gen1_Liberation'!$C$8/100)</f>
        <v>2.3588613814623939E-2</v>
      </c>
      <c r="D6" s="16">
        <f>'R0025_Gen1_Averages'!D6*('R0025_Gen1_Liberation'!$C$7/100)</f>
        <v>4.3148587231050216E-3</v>
      </c>
      <c r="E6" s="16">
        <f>'R0025_Gen1_Averages'!E6*('R0025_Gen1_Liberation'!$C$7/100)</f>
        <v>6.2862796281021992E-3</v>
      </c>
      <c r="F6" s="16">
        <f>'R0025_Gen1_Averages'!F6*('R0025_Gen1_Liberation'!$C$6/100)</f>
        <v>1.0933423303767938E-3</v>
      </c>
      <c r="G6" s="16">
        <f>'R0025_Gen1_Averages'!G6*('R0025_Gen1_Liberation'!$C$6/100)</f>
        <v>1.8937244662783639E-3</v>
      </c>
      <c r="H6" s="16">
        <f>'R0025_Gen1_Averages'!H6*('R0025_Gen1_Liberation'!$C$5/100)</f>
        <v>9.2095126890883006E-2</v>
      </c>
      <c r="I6" s="16">
        <f>'R0025_Gen1_Averages'!I6*('R0025_Gen1_Liberation'!$C$5/100)</f>
        <v>3.6205788485548097E-2</v>
      </c>
      <c r="J6" s="16">
        <f>'R0025_Gen1_Averages'!J6*('R0025_Gen1_Liberation'!$C$4/100)</f>
        <v>3.8255872424655057E-2</v>
      </c>
      <c r="K6" s="16">
        <f>'R0025_Gen1_Averages'!K6*('R0025_Gen1_Liberation'!$C$4/100)</f>
        <v>3.8558943825331135E-2</v>
      </c>
      <c r="L6" s="16">
        <f>'R0025_Gen1_Averages'!L6*('R0025_Gen1_Liberation'!$C$3/100)</f>
        <v>4.1256554406033617E-3</v>
      </c>
      <c r="M6" s="16">
        <f>'R0025_Gen1_Averages'!M6*('R0025_Gen1_Liberation'!$C$3/100)</f>
        <v>7.145844837647985E-3</v>
      </c>
      <c r="O6" s="16">
        <f>SUM(B6,D6,F6,H6,J6,L6)</f>
        <v>0.17406685579967418</v>
      </c>
      <c r="P6" s="16">
        <f t="shared" si="0"/>
        <v>5.8721721473755949E-2</v>
      </c>
    </row>
    <row r="7" spans="1:16" x14ac:dyDescent="0.25">
      <c r="A7" s="2" t="s">
        <v>14</v>
      </c>
      <c r="B7" s="16">
        <f>'R0025_Gen1_Averages'!B7*('R0025_Gen1_Liberation'!$C$8/100)</f>
        <v>3.1866793786964839E-3</v>
      </c>
      <c r="C7" s="16">
        <f>('R0025_Gen1_Averages'!C7)*('R0025_Gen1_Liberation'!$C$8/100)</f>
        <v>1.6058534939066048E-3</v>
      </c>
      <c r="D7" s="16">
        <f>'R0025_Gen1_Averages'!D7*('R0025_Gen1_Liberation'!$C$7/100)</f>
        <v>7.6070986874016778E-3</v>
      </c>
      <c r="E7" s="16">
        <f>'R0025_Gen1_Averages'!E7*('R0025_Gen1_Liberation'!$C$7/100)</f>
        <v>8.0792009203248614E-3</v>
      </c>
      <c r="F7" s="16">
        <f>'R0025_Gen1_Averages'!F7*('R0025_Gen1_Liberation'!$C$6/100)</f>
        <v>0</v>
      </c>
      <c r="G7" s="16">
        <f>'R0025_Gen1_Averages'!G7*('R0025_Gen1_Liberation'!$C$6/100)</f>
        <v>0</v>
      </c>
      <c r="H7" s="16">
        <f>'R0025_Gen1_Averages'!H7*('R0025_Gen1_Liberation'!$C$5/100)</f>
        <v>3.6165821967220936E-2</v>
      </c>
      <c r="I7" s="16">
        <f>'R0025_Gen1_Averages'!I7*('R0025_Gen1_Liberation'!$C$5/100)</f>
        <v>4.2902581440531509E-2</v>
      </c>
      <c r="J7" s="16">
        <f>'R0025_Gen1_Averages'!J7*('R0025_Gen1_Liberation'!$C$4/100)</f>
        <v>7.6071655210887407E-2</v>
      </c>
      <c r="K7" s="16">
        <f>'R0025_Gen1_Averages'!K7*('R0025_Gen1_Liberation'!$C$4/100)</f>
        <v>0.13175997184111873</v>
      </c>
      <c r="L7" s="16">
        <f>'R0025_Gen1_Averages'!L7*('R0025_Gen1_Liberation'!$C$3/100)</f>
        <v>6.4993958905171761E-2</v>
      </c>
      <c r="M7" s="16">
        <f>'R0025_Gen1_Averages'!M7*('R0025_Gen1_Liberation'!$C$3/100)</f>
        <v>0.10912007814840935</v>
      </c>
      <c r="O7" s="16">
        <f>SUM(B7,D7,F7,H7,J7,L7)</f>
        <v>0.18802521414937828</v>
      </c>
      <c r="P7" s="16">
        <f t="shared" si="0"/>
        <v>0.17656830231359102</v>
      </c>
    </row>
    <row r="8" spans="1:16" x14ac:dyDescent="0.25">
      <c r="A8" s="2" t="s">
        <v>15</v>
      </c>
      <c r="B8" s="16">
        <f>'R0025_Gen1_Averages'!B8*('R0025_Gen1_Liberation'!$C$8/100)</f>
        <v>2.7146703497760345E-2</v>
      </c>
      <c r="C8" s="16">
        <f>('R0025_Gen1_Averages'!C8)*('R0025_Gen1_Liberation'!$C$8/100)</f>
        <v>5.0209724733944359E-3</v>
      </c>
      <c r="D8" s="16">
        <f>'R0025_Gen1_Averages'!D8*('R0025_Gen1_Liberation'!$C$7/100)</f>
        <v>0.10572396332524078</v>
      </c>
      <c r="E8" s="16">
        <f>'R0025_Gen1_Averages'!E8*('R0025_Gen1_Liberation'!$C$7/100)</f>
        <v>0.16917251687777318</v>
      </c>
      <c r="F8" s="16">
        <f>'R0025_Gen1_Averages'!F8*('R0025_Gen1_Liberation'!$C$6/100)</f>
        <v>2.7686680424958985E-3</v>
      </c>
      <c r="G8" s="16">
        <f>'R0025_Gen1_Averages'!G8*('R0025_Gen1_Liberation'!$C$6/100)</f>
        <v>2.8884134127209879E-3</v>
      </c>
      <c r="H8" s="16">
        <f>'R0025_Gen1_Averages'!H8*('R0025_Gen1_Liberation'!$C$5/100)</f>
        <v>9.6117836874178193E-3</v>
      </c>
      <c r="I8" s="16">
        <f>'R0025_Gen1_Averages'!I8*('R0025_Gen1_Liberation'!$C$5/100)</f>
        <v>1.0059812794615538E-2</v>
      </c>
      <c r="J8" s="16">
        <f>'R0025_Gen1_Averages'!J8*('R0025_Gen1_Liberation'!$C$4/100)</f>
        <v>9.4286577513391472E-3</v>
      </c>
      <c r="K8" s="16">
        <f>'R0025_Gen1_Averages'!K8*('R0025_Gen1_Liberation'!$C$4/100)</f>
        <v>1.1271238961215495E-2</v>
      </c>
      <c r="L8" s="16">
        <f>'R0025_Gen1_Averages'!L8*('R0025_Gen1_Liberation'!$C$3/100)</f>
        <v>7.5547052880042846E-3</v>
      </c>
      <c r="M8" s="16">
        <f>'R0025_Gen1_Averages'!M8*('R0025_Gen1_Liberation'!$C$3/100)</f>
        <v>1.3085133395032688E-2</v>
      </c>
      <c r="O8" s="16">
        <f t="shared" ref="O8:O16" si="1">SUM(B8,D8,F8,H8,J8,L8)</f>
        <v>0.16223448159225828</v>
      </c>
      <c r="P8" s="16">
        <f t="shared" si="0"/>
        <v>0.17044751374112549</v>
      </c>
    </row>
    <row r="9" spans="1:16" x14ac:dyDescent="0.25">
      <c r="A9" s="2" t="s">
        <v>16</v>
      </c>
      <c r="B9" s="16">
        <f>'R0025_Gen1_Averages'!B9*('R0025_Gen1_Liberation'!$C$8/100)</f>
        <v>0.25116630031679443</v>
      </c>
      <c r="C9" s="16">
        <f>('R0025_Gen1_Averages'!C9)*('R0025_Gen1_Liberation'!$C$8/100)</f>
        <v>2.9557577470420097E-2</v>
      </c>
      <c r="D9" s="16">
        <f>'R0025_Gen1_Averages'!D9*('R0025_Gen1_Liberation'!$C$7/100)</f>
        <v>0.31311253384394427</v>
      </c>
      <c r="E9" s="16">
        <f>'R0025_Gen1_Averages'!E9*('R0025_Gen1_Liberation'!$C$7/100)</f>
        <v>3.4597898946964321E-2</v>
      </c>
      <c r="F9" s="16">
        <f>'R0025_Gen1_Averages'!F9*('R0025_Gen1_Liberation'!$C$6/100)</f>
        <v>0.48985350454865861</v>
      </c>
      <c r="G9" s="16">
        <f>'R0025_Gen1_Averages'!G9*('R0025_Gen1_Liberation'!$C$6/100)</f>
        <v>2.4117621492232361E-2</v>
      </c>
      <c r="H9" s="16">
        <f>'R0025_Gen1_Averages'!H9*('R0025_Gen1_Liberation'!$C$5/100)</f>
        <v>0.51935239284468304</v>
      </c>
      <c r="I9" s="16">
        <f>'R0025_Gen1_Averages'!I9*('R0025_Gen1_Liberation'!$C$5/100)</f>
        <v>6.9763388070665386E-2</v>
      </c>
      <c r="J9" s="16">
        <f>'R0025_Gen1_Averages'!J9*('R0025_Gen1_Liberation'!$C$4/100)</f>
        <v>0.4595838284831098</v>
      </c>
      <c r="K9" s="16">
        <f>'R0025_Gen1_Averages'!K9*('R0025_Gen1_Liberation'!$C$4/100)</f>
        <v>7.0279736638623011E-2</v>
      </c>
      <c r="L9" s="16">
        <f>'R0025_Gen1_Averages'!L9*('R0025_Gen1_Liberation'!$C$3/100)</f>
        <v>0.10738770400085364</v>
      </c>
      <c r="M9" s="16">
        <f>'R0025_Gen1_Averages'!M9*('R0025_Gen1_Liberation'!$C$3/100)</f>
        <v>8.6818134872746183E-3</v>
      </c>
      <c r="O9" s="16">
        <f t="shared" si="1"/>
        <v>2.1404562640380442</v>
      </c>
      <c r="P9" s="16">
        <f t="shared" si="0"/>
        <v>0.11195476875250611</v>
      </c>
    </row>
    <row r="10" spans="1:16" s="10" customFormat="1" x14ac:dyDescent="0.25">
      <c r="A10" s="14" t="s">
        <v>20</v>
      </c>
      <c r="B10" s="18">
        <f>'R0025_Gen1_Averages'!B10*('R0025_Gen1_Liberation'!$C$8/100)</f>
        <v>7.1139714216501462</v>
      </c>
      <c r="C10" s="18">
        <f>('R0025_Gen1_Averages'!C10)*('R0025_Gen1_Liberation'!$C$8/100)</f>
        <v>2.9059106590971783E-2</v>
      </c>
      <c r="D10" s="18">
        <f>'R0025_Gen1_Averages'!D10*('R0025_Gen1_Liberation'!$C$7/100)</f>
        <v>7.0918393813274756</v>
      </c>
      <c r="E10" s="18">
        <f>'R0025_Gen1_Averages'!E10*('R0025_Gen1_Liberation'!$C$7/100)</f>
        <v>0.15730749414209425</v>
      </c>
      <c r="F10" s="18">
        <f>'R0025_Gen1_Averages'!F10*('R0025_Gen1_Liberation'!$C$6/100)</f>
        <v>12.979952733515461</v>
      </c>
      <c r="G10" s="18">
        <f>'R0025_Gen1_Averages'!G10*('R0025_Gen1_Liberation'!$C$6/100)</f>
        <v>2.8257636163378855E-2</v>
      </c>
      <c r="H10" s="18">
        <f>'R0025_Gen1_Averages'!H10*('R0025_Gen1_Liberation'!$C$5/100)</f>
        <v>21.821266781266495</v>
      </c>
      <c r="I10" s="18">
        <f>'R0025_Gen1_Averages'!I10*('R0025_Gen1_Liberation'!$C$5/100)</f>
        <v>1.8350574555568523E-2</v>
      </c>
      <c r="J10" s="18">
        <f>'R0025_Gen1_Averages'!J10*('R0025_Gen1_Liberation'!$C$4/100)</f>
        <v>23.358488635296506</v>
      </c>
      <c r="K10" s="18">
        <f>'R0025_Gen1_Averages'!K10*('R0025_Gen1_Liberation'!$C$4/100)</f>
        <v>0.18794077458120398</v>
      </c>
      <c r="L10" s="18">
        <f>'R0025_Gen1_Averages'!L10*('R0025_Gen1_Liberation'!$C$3/100)</f>
        <v>7.5063881276398234</v>
      </c>
      <c r="M10" s="18">
        <f>'R0025_Gen1_Averages'!M10*('R0025_Gen1_Liberation'!$C$3/100)</f>
        <v>9.8230717461934902E-2</v>
      </c>
      <c r="O10" s="18">
        <f t="shared" si="1"/>
        <v>79.871907080695905</v>
      </c>
      <c r="P10" s="10">
        <f t="shared" si="0"/>
        <v>0.2677616955063985</v>
      </c>
    </row>
    <row r="11" spans="1:16" s="11" customFormat="1" x14ac:dyDescent="0.25">
      <c r="A11" s="15" t="s">
        <v>17</v>
      </c>
      <c r="B11" s="17">
        <f>'R0025_Gen1_Averages'!B11*('R0025_Gen1_Liberation'!$C$8/100)</f>
        <v>4.0521322106767945</v>
      </c>
      <c r="C11" s="17">
        <f>('R0025_Gen1_Averages'!C11)*('R0025_Gen1_Liberation'!$C$8/100)</f>
        <v>0.20540002023540432</v>
      </c>
      <c r="D11" s="17">
        <f>'R0025_Gen1_Averages'!D11*('R0025_Gen1_Liberation'!$C$7/100)</f>
        <v>4.3475874745086012</v>
      </c>
      <c r="E11" s="17">
        <f>'R0025_Gen1_Averages'!E11*('R0025_Gen1_Liberation'!$C$7/100)</f>
        <v>5.2769034846517959E-2</v>
      </c>
      <c r="F11" s="17">
        <f>'R0025_Gen1_Averages'!F11*('R0025_Gen1_Liberation'!$C$6/100)</f>
        <v>8.2211586833104029</v>
      </c>
      <c r="G11" s="17">
        <f>'R0025_Gen1_Averages'!G11*('R0025_Gen1_Liberation'!$C$6/100)</f>
        <v>0.27004871200517722</v>
      </c>
      <c r="H11" s="17">
        <f>'R0025_Gen1_Averages'!H11*('R0025_Gen1_Liberation'!$C$5/100)</f>
        <v>13.836564485514421</v>
      </c>
      <c r="I11" s="17">
        <f>'R0025_Gen1_Averages'!I11*('R0025_Gen1_Liberation'!$C$5/100)</f>
        <v>0.52157064586820234</v>
      </c>
      <c r="J11" s="17">
        <f>'R0025_Gen1_Averages'!J11*('R0025_Gen1_Liberation'!$C$4/100)</f>
        <v>13.167032830923256</v>
      </c>
      <c r="K11" s="17">
        <f>'R0025_Gen1_Averages'!K11*('R0025_Gen1_Liberation'!$C$4/100)</f>
        <v>0.73710830612318667</v>
      </c>
      <c r="L11" s="17">
        <f>'R0025_Gen1_Averages'!L11*('R0025_Gen1_Liberation'!$C$3/100)</f>
        <v>2.3722052673720544</v>
      </c>
      <c r="M11" s="17">
        <f>'R0025_Gen1_Averages'!M11*('R0025_Gen1_Liberation'!$C$3/100)</f>
        <v>0.54924448670868453</v>
      </c>
      <c r="O11" s="17">
        <f t="shared" si="1"/>
        <v>45.996680952305525</v>
      </c>
      <c r="P11" s="11">
        <f t="shared" si="0"/>
        <v>1.1112759090226181</v>
      </c>
    </row>
    <row r="12" spans="1:16" x14ac:dyDescent="0.25">
      <c r="A12" s="2" t="s">
        <v>8</v>
      </c>
      <c r="B12" s="16">
        <f>'R0025_Gen1_Averages'!B12*('R0025_Gen1_Liberation'!$C$8/100)</f>
        <v>3.8058282807211432</v>
      </c>
      <c r="C12" s="16">
        <f>('R0025_Gen1_Averages'!C12)*('R0025_Gen1_Liberation'!$C$8/100)</f>
        <v>8.1023378669432405E-2</v>
      </c>
      <c r="D12" s="16">
        <f>'R0025_Gen1_Averages'!D12*('R0025_Gen1_Liberation'!$C$7/100)</f>
        <v>4.0525459545893368</v>
      </c>
      <c r="E12" s="16">
        <f>'R0025_Gen1_Averages'!E12*('R0025_Gen1_Liberation'!$C$7/100)</f>
        <v>6.8247936068133994E-2</v>
      </c>
      <c r="F12" s="16">
        <f>'R0025_Gen1_Averages'!F12*('R0025_Gen1_Liberation'!$C$6/100)</f>
        <v>7.3704033207908175</v>
      </c>
      <c r="G12" s="16">
        <f>'R0025_Gen1_Averages'!G12*('R0025_Gen1_Liberation'!$C$6/100)</f>
        <v>0.16722455015063029</v>
      </c>
      <c r="H12" s="16">
        <f>'R0025_Gen1_Averages'!H12*('R0025_Gen1_Liberation'!$C$5/100)</f>
        <v>11.256280897526628</v>
      </c>
      <c r="I12" s="16">
        <f>'R0025_Gen1_Averages'!I12*('R0025_Gen1_Liberation'!$C$5/100)</f>
        <v>0.65993730490069924</v>
      </c>
      <c r="J12" s="16">
        <f>'R0025_Gen1_Averages'!J12*('R0025_Gen1_Liberation'!$C$4/100)</f>
        <v>9.2900716530513261</v>
      </c>
      <c r="K12" s="16">
        <f>'R0025_Gen1_Averages'!K12*('R0025_Gen1_Liberation'!$C$4/100)</f>
        <v>0.43633801627448021</v>
      </c>
      <c r="L12" s="16">
        <f>'R0025_Gen1_Averages'!L12*('R0025_Gen1_Liberation'!$C$3/100)</f>
        <v>1.3812596028050648</v>
      </c>
      <c r="M12" s="16">
        <f>'R0025_Gen1_Averages'!M12*('R0025_Gen1_Liberation'!$C$3/100)</f>
        <v>0.24345749782918569</v>
      </c>
      <c r="O12" s="16">
        <f t="shared" si="1"/>
        <v>37.156389709484316</v>
      </c>
      <c r="P12" s="16">
        <f t="shared" si="0"/>
        <v>0.85109710546849238</v>
      </c>
    </row>
    <row r="13" spans="1:16" x14ac:dyDescent="0.25">
      <c r="A13" s="2" t="s">
        <v>6</v>
      </c>
      <c r="B13" s="16">
        <f>'R0025_Gen1_Averages'!B13*('R0025_Gen1_Liberation'!$C$8/100)</f>
        <v>0.17034108695187755</v>
      </c>
      <c r="C13" s="16">
        <f>('R0025_Gen1_Averages'!C13)*('R0025_Gen1_Liberation'!$C$8/100)</f>
        <v>0.21448487333459934</v>
      </c>
      <c r="D13" s="16">
        <f>'R0025_Gen1_Averages'!D13*('R0025_Gen1_Liberation'!$C$7/100)</f>
        <v>1.7393539331159655E-2</v>
      </c>
      <c r="E13" s="16">
        <f>'R0025_Gen1_Averages'!E13*('R0025_Gen1_Liberation'!$C$7/100)</f>
        <v>4.3436862666922484E-3</v>
      </c>
      <c r="F13" s="16">
        <f>'R0025_Gen1_Averages'!F13*('R0025_Gen1_Liberation'!$C$6/100)</f>
        <v>0.174824808218496</v>
      </c>
      <c r="G13" s="16">
        <f>'R0025_Gen1_Averages'!G13*('R0025_Gen1_Liberation'!$C$6/100)</f>
        <v>9.130436217338439E-2</v>
      </c>
      <c r="H13" s="16">
        <f>'R0025_Gen1_Averages'!H13*('R0025_Gen1_Liberation'!$C$5/100)</f>
        <v>0.23019289531085455</v>
      </c>
      <c r="I13" s="16">
        <f>'R0025_Gen1_Averages'!I13*('R0025_Gen1_Liberation'!$C$5/100)</f>
        <v>0.10777462926197599</v>
      </c>
      <c r="J13" s="16">
        <f>'R0025_Gen1_Averages'!J13*('R0025_Gen1_Liberation'!$C$4/100)</f>
        <v>0.128946192090199</v>
      </c>
      <c r="K13" s="16">
        <f>'R0025_Gen1_Averages'!K13*('R0025_Gen1_Liberation'!$C$4/100)</f>
        <v>6.5101670704995396E-2</v>
      </c>
      <c r="L13" s="16">
        <f>'R0025_Gen1_Averages'!L13*('R0025_Gen1_Liberation'!$C$3/100)</f>
        <v>5.8318692914214112E-2</v>
      </c>
      <c r="M13" s="16">
        <f>'R0025_Gen1_Averages'!M13*('R0025_Gen1_Liberation'!$C$3/100)</f>
        <v>9.907663290866392E-2</v>
      </c>
      <c r="O13" s="16">
        <f t="shared" si="1"/>
        <v>0.78001721481680086</v>
      </c>
      <c r="P13" s="16">
        <f t="shared" si="0"/>
        <v>0.28289378303753393</v>
      </c>
    </row>
    <row r="14" spans="1:16" x14ac:dyDescent="0.25">
      <c r="A14" s="2" t="s">
        <v>14</v>
      </c>
      <c r="B14" s="16">
        <f>'R0025_Gen1_Averages'!B14*('R0025_Gen1_Liberation'!$C$8/100)</f>
        <v>4.3194740189624388E-2</v>
      </c>
      <c r="C14" s="16">
        <f>('R0025_Gen1_Averages'!C14)*('R0025_Gen1_Liberation'!$C$8/100)</f>
        <v>1.5742552001460818E-2</v>
      </c>
      <c r="D14" s="16">
        <f>'R0025_Gen1_Averages'!D14*('R0025_Gen1_Liberation'!$C$7/100)</f>
        <v>0.24081941563121209</v>
      </c>
      <c r="E14" s="16">
        <f>'R0025_Gen1_Averages'!E14*('R0025_Gen1_Liberation'!$C$7/100)</f>
        <v>8.3171464945970608E-2</v>
      </c>
      <c r="F14" s="16">
        <f>'R0025_Gen1_Averages'!F14*('R0025_Gen1_Liberation'!$C$6/100)</f>
        <v>0.58884158194213365</v>
      </c>
      <c r="G14" s="16">
        <f>'R0025_Gen1_Averages'!G14*('R0025_Gen1_Liberation'!$C$6/100)</f>
        <v>0.33433875476146574</v>
      </c>
      <c r="H14" s="16">
        <f>'R0025_Gen1_Averages'!H14*('R0025_Gen1_Liberation'!$C$5/100)</f>
        <v>2.1245735789167188</v>
      </c>
      <c r="I14" s="16">
        <f>'R0025_Gen1_Averages'!I14*('R0025_Gen1_Liberation'!$C$5/100)</f>
        <v>0.26896052291863543</v>
      </c>
      <c r="J14" s="16">
        <f>'R0025_Gen1_Averages'!J14*('R0025_Gen1_Liberation'!$C$4/100)</f>
        <v>3.7028499770521655</v>
      </c>
      <c r="K14" s="16">
        <f>'R0025_Gen1_Averages'!K14*('R0025_Gen1_Liberation'!$C$4/100)</f>
        <v>0.26913239622481716</v>
      </c>
      <c r="L14" s="16">
        <f>'R0025_Gen1_Averages'!L14*('R0025_Gen1_Liberation'!$C$3/100)</f>
        <v>0.88869973175313577</v>
      </c>
      <c r="M14" s="16">
        <f>'R0025_Gen1_Averages'!M14*('R0025_Gen1_Liberation'!$C$3/100)</f>
        <v>0.4604274579889705</v>
      </c>
      <c r="O14" s="16">
        <f t="shared" si="1"/>
        <v>7.5889790254849903</v>
      </c>
      <c r="P14" s="16">
        <f t="shared" si="0"/>
        <v>0.68971963660373481</v>
      </c>
    </row>
    <row r="15" spans="1:16" x14ac:dyDescent="0.25">
      <c r="A15" s="2" t="s">
        <v>15</v>
      </c>
      <c r="B15" s="16">
        <f>'R0025_Gen1_Averages'!B15*('R0025_Gen1_Liberation'!$C$8/100)</f>
        <v>2.5142539504572299E-2</v>
      </c>
      <c r="C15" s="16">
        <f>('R0025_Gen1_Averages'!C15)*('R0025_Gen1_Liberation'!$C$8/100)</f>
        <v>1.8628092532188258E-2</v>
      </c>
      <c r="D15" s="16">
        <f>'R0025_Gen1_Averages'!D15*('R0025_Gen1_Liberation'!$C$7/100)</f>
        <v>3.4158932286945748E-2</v>
      </c>
      <c r="E15" s="16">
        <f>'R0025_Gen1_Averages'!E15*('R0025_Gen1_Liberation'!$C$7/100)</f>
        <v>2.1932080769632566E-2</v>
      </c>
      <c r="F15" s="16">
        <f>'R0025_Gen1_Averages'!F15*('R0025_Gen1_Liberation'!$C$6/100)</f>
        <v>8.0616629693496811E-2</v>
      </c>
      <c r="G15" s="16">
        <f>'R0025_Gen1_Averages'!G15*('R0025_Gen1_Liberation'!$C$6/100)</f>
        <v>4.170956376995915E-2</v>
      </c>
      <c r="H15" s="16">
        <f>'R0025_Gen1_Averages'!H15*('R0025_Gen1_Liberation'!$C$5/100)</f>
        <v>0.22066204660133568</v>
      </c>
      <c r="I15" s="16">
        <f>'R0025_Gen1_Averages'!I15*('R0025_Gen1_Liberation'!$C$5/100)</f>
        <v>0.16415502018039452</v>
      </c>
      <c r="J15" s="16">
        <f>'R0025_Gen1_Averages'!J15*('R0025_Gen1_Liberation'!$C$4/100)</f>
        <v>3.879145256369089E-2</v>
      </c>
      <c r="K15" s="16">
        <f>'R0025_Gen1_Averages'!K15*('R0025_Gen1_Liberation'!$C$4/100)</f>
        <v>4.0803510092160884E-2</v>
      </c>
      <c r="L15" s="16">
        <f>'R0025_Gen1_Averages'!L15*('R0025_Gen1_Liberation'!$C$3/100)</f>
        <v>4.3927239899639953E-2</v>
      </c>
      <c r="M15" s="16">
        <f>'R0025_Gen1_Averages'!M15*('R0025_Gen1_Liberation'!$C$3/100)</f>
        <v>3.0128696721801112E-2</v>
      </c>
      <c r="O15" s="16">
        <f t="shared" si="1"/>
        <v>0.44329884054968138</v>
      </c>
      <c r="P15" s="16">
        <f t="shared" si="0"/>
        <v>0.17912912984932078</v>
      </c>
    </row>
    <row r="16" spans="1:16" x14ac:dyDescent="0.25">
      <c r="A16" s="2" t="s">
        <v>16</v>
      </c>
      <c r="B16" s="16">
        <f>'R0025_Gen1_Averages'!B16*('R0025_Gen1_Liberation'!$C$8/100)</f>
        <v>7.1307283734518973E-3</v>
      </c>
      <c r="C16" s="16">
        <f>('R0025_Gen1_Averages'!C16)*('R0025_Gen1_Liberation'!$C$8/100)</f>
        <v>4.3510855085818001E-3</v>
      </c>
      <c r="D16" s="16">
        <f>'R0025_Gen1_Averages'!D16*('R0025_Gen1_Liberation'!$C$7/100)</f>
        <v>2.6696326699473323E-3</v>
      </c>
      <c r="E16" s="16">
        <f>'R0025_Gen1_Averages'!E16*('R0025_Gen1_Liberation'!$C$7/100)</f>
        <v>1.67628343883448E-3</v>
      </c>
      <c r="F16" s="16">
        <f>'R0025_Gen1_Averages'!F16*('R0025_Gen1_Liberation'!$C$6/100)</f>
        <v>6.4723426654593593E-3</v>
      </c>
      <c r="G16" s="16">
        <f>'R0025_Gen1_Averages'!G16*('R0025_Gen1_Liberation'!$C$6/100)</f>
        <v>4.338564343896594E-3</v>
      </c>
      <c r="H16" s="16">
        <f>'R0025_Gen1_Averages'!H16*('R0025_Gen1_Liberation'!$C$5/100)</f>
        <v>4.8550671588825133E-3</v>
      </c>
      <c r="I16" s="16">
        <f>'R0025_Gen1_Averages'!I16*('R0025_Gen1_Liberation'!$C$5/100)</f>
        <v>6.5092082325804218E-3</v>
      </c>
      <c r="J16" s="16">
        <f>'R0025_Gen1_Averages'!J16*('R0025_Gen1_Liberation'!$C$4/100)</f>
        <v>6.3735561658745717E-3</v>
      </c>
      <c r="K16" s="16">
        <f>'R0025_Gen1_Averages'!K16*('R0025_Gen1_Liberation'!$C$4/100)</f>
        <v>4.4945052800104439E-3</v>
      </c>
      <c r="L16" s="16">
        <f>'R0025_Gen1_Averages'!L16*('R0025_Gen1_Liberation'!$C$3/100)</f>
        <v>0</v>
      </c>
      <c r="M16" s="16">
        <f>'R0025_Gen1_Averages'!M16*('R0025_Gen1_Liberation'!$C$3/100)</f>
        <v>0</v>
      </c>
      <c r="O16" s="16">
        <f t="shared" si="1"/>
        <v>2.7501327033615672E-2</v>
      </c>
      <c r="P16" s="16">
        <f t="shared" si="0"/>
        <v>1.0155559135939619E-2</v>
      </c>
    </row>
    <row r="17" spans="1:16" s="20" customFormat="1" x14ac:dyDescent="0.25">
      <c r="A17" s="12" t="s">
        <v>18</v>
      </c>
      <c r="B17" s="19">
        <f>'R0025_Gen1_Averages'!B17*('R0025_Gen1_Liberation'!$C$8/100)</f>
        <v>3.061839210973353</v>
      </c>
      <c r="C17" s="19">
        <f>('R0025_Gen1_Averages'!C17)*('R0025_Gen1_Liberation'!$C$8/100)</f>
        <v>0.20649710176637479</v>
      </c>
      <c r="D17" s="19">
        <f>'R0025_Gen1_Averages'!D17*('R0025_Gen1_Liberation'!$C$7/100)</f>
        <v>2.7442519068188744</v>
      </c>
      <c r="E17" s="19">
        <f>'R0025_Gen1_Averages'!E17*('R0025_Gen1_Liberation'!$C$7/100)</f>
        <v>0.11857293508557712</v>
      </c>
      <c r="F17" s="19">
        <f>'R0025_Gen1_Averages'!F17*('R0025_Gen1_Liberation'!$C$6/100)</f>
        <v>4.7587940502050561</v>
      </c>
      <c r="G17" s="19">
        <f>'R0025_Gen1_Averages'!G17*('R0025_Gen1_Liberation'!$C$6/100)</f>
        <v>0.25613910114042521</v>
      </c>
      <c r="H17" s="19">
        <f>'R0025_Gen1_Averages'!H17*('R0025_Gen1_Liberation'!$C$5/100)</f>
        <v>7.984702295752073</v>
      </c>
      <c r="I17" s="19">
        <f>'R0025_Gen1_Averages'!I17*('R0025_Gen1_Liberation'!$C$5/100)</f>
        <v>0.52392603392365011</v>
      </c>
      <c r="J17" s="19">
        <f>'R0025_Gen1_Averages'!J17*('R0025_Gen1_Liberation'!$C$4/100)</f>
        <v>10.191455804373247</v>
      </c>
      <c r="K17" s="19">
        <f>'R0025_Gen1_Averages'!K17*('R0025_Gen1_Liberation'!$C$4/100)</f>
        <v>0.88585248216529233</v>
      </c>
      <c r="L17" s="19">
        <f>'R0025_Gen1_Averages'!L17*('R0025_Gen1_Liberation'!$C$3/100)</f>
        <v>5.134182860267769</v>
      </c>
      <c r="M17" s="19">
        <f>'R0025_Gen1_Averages'!M17*('R0025_Gen1_Liberation'!$C$3/100)</f>
        <v>0.50626105084632034</v>
      </c>
      <c r="O17" s="19">
        <f>SUM(B17,D17,F17,H17,J17,L17)</f>
        <v>33.875226128390374</v>
      </c>
      <c r="P17" s="20">
        <f t="shared" si="0"/>
        <v>1.1991001600746878</v>
      </c>
    </row>
    <row r="18" spans="1:16" x14ac:dyDescent="0.25">
      <c r="A18" s="2" t="s">
        <v>8</v>
      </c>
      <c r="B18" s="16">
        <f>'R0025_Gen1_Averages'!B18*('R0025_Gen1_Liberation'!$C$8/100)</f>
        <v>1.8495914844986562E-2</v>
      </c>
      <c r="C18" s="16">
        <f>('R0025_Gen1_Averages'!C18)*('R0025_Gen1_Liberation'!$C$8/100)</f>
        <v>7.4992995859907716E-3</v>
      </c>
      <c r="D18" s="16">
        <f>'R0025_Gen1_Averages'!D18*('R0025_Gen1_Liberation'!$C$7/100)</f>
        <v>2.029267488033522E-3</v>
      </c>
      <c r="E18" s="16">
        <f>'R0025_Gen1_Averages'!E18*('R0025_Gen1_Liberation'!$C$7/100)</f>
        <v>3.5147943914217291E-3</v>
      </c>
      <c r="F18" s="16">
        <f>'R0025_Gen1_Averages'!F18*('R0025_Gen1_Liberation'!$C$6/100)</f>
        <v>0</v>
      </c>
      <c r="G18" s="16">
        <f>'R0025_Gen1_Averages'!G18*('R0025_Gen1_Liberation'!$C$6/100)</f>
        <v>0</v>
      </c>
      <c r="H18" s="16">
        <f>'R0025_Gen1_Averages'!H18*('R0025_Gen1_Liberation'!$C$5/100)</f>
        <v>2.7393539700565794E-2</v>
      </c>
      <c r="I18" s="16">
        <f>'R0025_Gen1_Averages'!I18*('R0025_Gen1_Liberation'!$C$5/100)</f>
        <v>2.4031196011688565E-2</v>
      </c>
      <c r="J18" s="16">
        <f>'R0025_Gen1_Averages'!J18*('R0025_Gen1_Liberation'!$C$4/100)</f>
        <v>0.14328643079954406</v>
      </c>
      <c r="K18" s="16">
        <f>'R0025_Gen1_Averages'!K18*('R0025_Gen1_Liberation'!$C$4/100)</f>
        <v>0.1851328568372127</v>
      </c>
      <c r="L18" s="16">
        <f>'R0025_Gen1_Averages'!L18*('R0025_Gen1_Liberation'!$C$3/100)</f>
        <v>3.8626089183803447E-2</v>
      </c>
      <c r="M18" s="16">
        <f>'R0025_Gen1_Averages'!M18*('R0025_Gen1_Liberation'!$C$3/100)</f>
        <v>4.0103802842819489E-2</v>
      </c>
      <c r="O18" s="16">
        <f>SUM(B18,D18,F18,H18,J18,L18)</f>
        <v>0.22983124201693339</v>
      </c>
      <c r="P18" s="16">
        <f t="shared" si="0"/>
        <v>0.19112451789032781</v>
      </c>
    </row>
    <row r="19" spans="1:16" x14ac:dyDescent="0.25">
      <c r="A19" s="2" t="s">
        <v>6</v>
      </c>
      <c r="B19" s="16">
        <f>'R0025_Gen1_Averages'!B19*('R0025_Gen1_Liberation'!$C$8/100)</f>
        <v>2.9485204110725522</v>
      </c>
      <c r="C19" s="16">
        <f>('R0025_Gen1_Averages'!C19)*('R0025_Gen1_Liberation'!$C$8/100)</f>
        <v>0.19114491302531486</v>
      </c>
      <c r="D19" s="16">
        <f>'R0025_Gen1_Averages'!D19*('R0025_Gen1_Liberation'!$C$7/100)</f>
        <v>2.5194601816202296</v>
      </c>
      <c r="E19" s="16">
        <f>'R0025_Gen1_Averages'!E19*('R0025_Gen1_Liberation'!$C$7/100)</f>
        <v>8.0810877031483083E-2</v>
      </c>
      <c r="F19" s="16">
        <f>'R0025_Gen1_Averages'!F19*('R0025_Gen1_Liberation'!$C$6/100)</f>
        <v>4.0797074290847322</v>
      </c>
      <c r="G19" s="16">
        <f>'R0025_Gen1_Averages'!G19*('R0025_Gen1_Liberation'!$C$6/100)</f>
        <v>0.22836243616204799</v>
      </c>
      <c r="H19" s="16">
        <f>'R0025_Gen1_Averages'!H19*('R0025_Gen1_Liberation'!$C$5/100)</f>
        <v>6.3136536907597494</v>
      </c>
      <c r="I19" s="16">
        <f>'R0025_Gen1_Averages'!I19*('R0025_Gen1_Liberation'!$C$5/100)</f>
        <v>0.49153508908029764</v>
      </c>
      <c r="J19" s="16">
        <f>'R0025_Gen1_Averages'!J19*('R0025_Gen1_Liberation'!$C$4/100)</f>
        <v>5.1272998147658431</v>
      </c>
      <c r="K19" s="16">
        <f>'R0025_Gen1_Averages'!K19*('R0025_Gen1_Liberation'!$C$4/100)</f>
        <v>0.4788853944292647</v>
      </c>
      <c r="L19" s="16">
        <f>'R0025_Gen1_Averages'!L19*('R0025_Gen1_Liberation'!$C$3/100)</f>
        <v>0.82100203009761052</v>
      </c>
      <c r="M19" s="16">
        <f>'R0025_Gen1_Averages'!M19*('R0025_Gen1_Liberation'!$C$3/100)</f>
        <v>5.4607744308220615E-2</v>
      </c>
      <c r="O19" s="16">
        <f t="shared" ref="O19:O22" si="2">SUM(B19,D19,F19,H19,J19,L19)</f>
        <v>21.809643557400719</v>
      </c>
      <c r="P19" s="16">
        <f t="shared" si="0"/>
        <v>0.75441112690972334</v>
      </c>
    </row>
    <row r="20" spans="1:16" x14ac:dyDescent="0.25">
      <c r="A20" s="2" t="s">
        <v>14</v>
      </c>
      <c r="B20" s="16">
        <f>'R0025_Gen1_Averages'!B20*('R0025_Gen1_Liberation'!$C$8/100)</f>
        <v>1.6341842295431758E-2</v>
      </c>
      <c r="C20" s="16">
        <f>('R0025_Gen1_Averages'!C20)*('R0025_Gen1_Liberation'!$C$8/100)</f>
        <v>5.0172693334080577E-3</v>
      </c>
      <c r="D20" s="16">
        <f>'R0025_Gen1_Averages'!D20*('R0025_Gen1_Liberation'!$C$7/100)</f>
        <v>7.1976323912249951E-2</v>
      </c>
      <c r="E20" s="16">
        <f>'R0025_Gen1_Averages'!E20*('R0025_Gen1_Liberation'!$C$7/100)</f>
        <v>3.1295776426927768E-2</v>
      </c>
      <c r="F20" s="16">
        <f>'R0025_Gen1_Averages'!F20*('R0025_Gen1_Liberation'!$C$6/100)</f>
        <v>0.18831904345225137</v>
      </c>
      <c r="G20" s="16">
        <f>'R0025_Gen1_Averages'!G20*('R0025_Gen1_Liberation'!$C$6/100)</f>
        <v>3.4794468231460159E-2</v>
      </c>
      <c r="H20" s="16">
        <f>'R0025_Gen1_Averages'!H20*('R0025_Gen1_Liberation'!$C$5/100)</f>
        <v>0.7278940465017667</v>
      </c>
      <c r="I20" s="16">
        <f>'R0025_Gen1_Averages'!I20*('R0025_Gen1_Liberation'!$C$5/100)</f>
        <v>0.19022873466463272</v>
      </c>
      <c r="J20" s="16">
        <f>'R0025_Gen1_Averages'!J20*('R0025_Gen1_Liberation'!$C$4/100)</f>
        <v>3.6846377259960041</v>
      </c>
      <c r="K20" s="16">
        <f>'R0025_Gen1_Averages'!K20*('R0025_Gen1_Liberation'!$C$4/100)</f>
        <v>0.80480209306637285</v>
      </c>
      <c r="L20" s="16">
        <f>'R0025_Gen1_Averages'!L20*('R0025_Gen1_Liberation'!$C$3/100)</f>
        <v>3.2699738370015572</v>
      </c>
      <c r="M20" s="16">
        <f>'R0025_Gen1_Averages'!M20*('R0025_Gen1_Liberation'!$C$3/100)</f>
        <v>0.51098699290230964</v>
      </c>
      <c r="O20" s="16">
        <f t="shared" si="2"/>
        <v>7.9591428191592613</v>
      </c>
      <c r="P20" s="16">
        <f t="shared" si="0"/>
        <v>0.97325039997151053</v>
      </c>
    </row>
    <row r="21" spans="1:16" x14ac:dyDescent="0.25">
      <c r="A21" s="2" t="s">
        <v>15</v>
      </c>
      <c r="B21" s="16">
        <f>'R0025_Gen1_Averages'!B21*('R0025_Gen1_Liberation'!$C$8/100)</f>
        <v>6.5183664329811666E-2</v>
      </c>
      <c r="C21" s="16">
        <f>('R0025_Gen1_Averages'!C21)*('R0025_Gen1_Liberation'!$C$8/100)</f>
        <v>8.7200127841379517E-3</v>
      </c>
      <c r="D21" s="16">
        <f>'R0025_Gen1_Averages'!D21*('R0025_Gen1_Liberation'!$C$7/100)</f>
        <v>0.13170919333515654</v>
      </c>
      <c r="E21" s="16">
        <f>'R0025_Gen1_Averages'!E21*('R0025_Gen1_Liberation'!$C$7/100)</f>
        <v>2.4853123636787152E-2</v>
      </c>
      <c r="F21" s="16">
        <f>'R0025_Gen1_Averages'!F21*('R0025_Gen1_Liberation'!$C$6/100)</f>
        <v>0.43998936332938188</v>
      </c>
      <c r="G21" s="16">
        <f>'R0025_Gen1_Averages'!G21*('R0025_Gen1_Liberation'!$C$6/100)</f>
        <v>2.4005291024998564E-2</v>
      </c>
      <c r="H21" s="16">
        <f>'R0025_Gen1_Averages'!H21*('R0025_Gen1_Liberation'!$C$5/100)</f>
        <v>0.85141320939652887</v>
      </c>
      <c r="I21" s="16">
        <f>'R0025_Gen1_Averages'!I21*('R0025_Gen1_Liberation'!$C$5/100)</f>
        <v>0.3391792075563016</v>
      </c>
      <c r="J21" s="16">
        <f>'R0025_Gen1_Averages'!J21*('R0025_Gen1_Liberation'!$C$4/100)</f>
        <v>1.2037974839902164</v>
      </c>
      <c r="K21" s="16">
        <f>'R0025_Gen1_Averages'!K21*('R0025_Gen1_Liberation'!$C$4/100)</f>
        <v>0.22579202301825393</v>
      </c>
      <c r="L21" s="16">
        <f>'R0025_Gen1_Averages'!L21*('R0025_Gen1_Liberation'!$C$3/100)</f>
        <v>0.99569222686973324</v>
      </c>
      <c r="M21" s="16">
        <f>'R0025_Gen1_Averages'!M21*('R0025_Gen1_Liberation'!$C$3/100)</f>
        <v>7.9569655061097144E-2</v>
      </c>
      <c r="O21" s="16">
        <f t="shared" si="2"/>
        <v>3.6877851412508282</v>
      </c>
      <c r="P21" s="16">
        <f t="shared" si="0"/>
        <v>0.41668438041087436</v>
      </c>
    </row>
    <row r="22" spans="1:16" x14ac:dyDescent="0.25">
      <c r="A22" s="2" t="s">
        <v>16</v>
      </c>
      <c r="B22" s="16">
        <f>'R0025_Gen1_Averages'!B22*('R0025_Gen1_Liberation'!$C$8/100)</f>
        <v>1.3297378430570529E-2</v>
      </c>
      <c r="C22" s="16">
        <f>('R0025_Gen1_Averages'!C22)*('R0025_Gen1_Liberation'!$C$8/100)</f>
        <v>5.3400740909070972E-3</v>
      </c>
      <c r="D22" s="16">
        <f>'R0025_Gen1_Averages'!D22*('R0025_Gen1_Liberation'!$C$7/100)</f>
        <v>1.9076940463205003E-2</v>
      </c>
      <c r="E22" s="16">
        <f>'R0025_Gen1_Averages'!E22*('R0025_Gen1_Liberation'!$C$7/100)</f>
        <v>4.7487443838980245E-3</v>
      </c>
      <c r="F22" s="16">
        <f>'R0025_Gen1_Averages'!F22*('R0025_Gen1_Liberation'!$C$6/100)</f>
        <v>5.0778214338690522E-2</v>
      </c>
      <c r="G22" s="16">
        <f>'R0025_Gen1_Averages'!G22*('R0025_Gen1_Liberation'!$C$6/100)</f>
        <v>1.1783915755073326E-2</v>
      </c>
      <c r="H22" s="16">
        <f>'R0025_Gen1_Averages'!H22*('R0025_Gen1_Liberation'!$C$5/100)</f>
        <v>6.4347809393463129E-2</v>
      </c>
      <c r="I22" s="16">
        <f>'R0025_Gen1_Averages'!I22*('R0025_Gen1_Liberation'!$C$5/100)</f>
        <v>1.3208237156901332E-2</v>
      </c>
      <c r="J22" s="16">
        <f>'R0025_Gen1_Averages'!J22*('R0025_Gen1_Liberation'!$C$4/100)</f>
        <v>3.2434348821639231E-2</v>
      </c>
      <c r="K22" s="16">
        <f>'R0025_Gen1_Averages'!K22*('R0025_Gen1_Liberation'!$C$4/100)</f>
        <v>1.5131443200138785E-2</v>
      </c>
      <c r="L22" s="16">
        <f>'R0025_Gen1_Averages'!L22*('R0025_Gen1_Liberation'!$C$3/100)</f>
        <v>8.8886771150643688E-3</v>
      </c>
      <c r="M22" s="16">
        <f>'R0025_Gen1_Averages'!M22*('R0025_Gen1_Liberation'!$C$3/100)</f>
        <v>1.4045139409140811E-2</v>
      </c>
      <c r="O22" s="16">
        <f t="shared" si="2"/>
        <v>0.18882336856263277</v>
      </c>
      <c r="P22" s="16">
        <f t="shared" si="0"/>
        <v>2.8117817806096214E-2</v>
      </c>
    </row>
    <row r="24" spans="1:16" x14ac:dyDescent="0.25">
      <c r="A24" t="s">
        <v>109</v>
      </c>
      <c r="O24" s="16"/>
    </row>
    <row r="25" spans="1:16" x14ac:dyDescent="0.25">
      <c r="A25" t="s">
        <v>110</v>
      </c>
      <c r="B25" s="46">
        <v>1</v>
      </c>
      <c r="C25" s="47">
        <f>B25</f>
        <v>1</v>
      </c>
      <c r="D25" s="45">
        <v>2</v>
      </c>
      <c r="E25" s="47">
        <f>D25</f>
        <v>2</v>
      </c>
      <c r="F25" s="45">
        <v>2.8</v>
      </c>
      <c r="G25" s="47">
        <f>F25</f>
        <v>2.8</v>
      </c>
      <c r="H25" s="45">
        <v>4</v>
      </c>
      <c r="I25" s="47">
        <f>H25</f>
        <v>4</v>
      </c>
      <c r="J25" s="45">
        <v>5.6</v>
      </c>
      <c r="K25" s="47">
        <f>J25</f>
        <v>5.6</v>
      </c>
      <c r="L25" s="45">
        <v>8</v>
      </c>
      <c r="M25" s="47">
        <f>L25</f>
        <v>8</v>
      </c>
      <c r="O25" s="16" t="s">
        <v>75</v>
      </c>
    </row>
    <row r="26" spans="1:16" x14ac:dyDescent="0.25">
      <c r="A26" s="2" t="s">
        <v>77</v>
      </c>
      <c r="B26">
        <f>(B8+B9+($L$40+$L$41)*B7)/B4</f>
        <v>0.86744648548100689</v>
      </c>
      <c r="C26" s="48">
        <f>(SQRT(SUMSQ(
(100*(C4/B4)),
(100*(SQRT(SUMSQ(C8,C9)))/(B8+B9))
)))
*0.01*((B8+B9)/B4)</f>
        <v>0.12198374244977828</v>
      </c>
      <c r="D26">
        <f>(D8+D9+($L$40+$L$41)*D7)/D4</f>
        <v>0.96381366796311096</v>
      </c>
      <c r="E26" s="48">
        <f>(SQRT(SUMSQ(
(100*(E4/D4)),
(100*(SQRT(SUMSQ(E8,E9)))/(D8+D9))
)))
*0.01*((D8+D9)/D4)</f>
        <v>0.52808604472067699</v>
      </c>
      <c r="F26">
        <f>(F8+F9+($L$40+$L$41)*F7)/F4</f>
        <v>0.98911649792877609</v>
      </c>
      <c r="G26" s="48">
        <f>(SQRT(SUMSQ(
(100*(G4/F4)),
(100*(SQRT(SUMSQ(G8,G9)))/(F8+F9))
)))
*0.01*((F8+F9)/F4)</f>
        <v>7.435078075322489E-2</v>
      </c>
      <c r="H26">
        <f>(H8+H9+($L$40+$L$41)*H7)/H4</f>
        <v>0.70384157854526141</v>
      </c>
      <c r="I26" s="48">
        <f>(SQRT(SUMSQ(
(100*(I4/H4)),
(100*(SQRT(SUMSQ(I8,I9)))/(H8+H9))
)))
*0.01*((H8+H9)/H4)</f>
        <v>9.5008196927029623E-2</v>
      </c>
      <c r="J26">
        <f>(J8+J9+($L$40+$L$41)*J7)/J4</f>
        <v>0.77784521950303231</v>
      </c>
      <c r="K26" s="48">
        <f>(SQRT(SUMSQ(
(100*(K4/J4)),
(100*(SQRT(SUMSQ(K8,K9)))/(J8+J9))
)))
*0.01*((J8+J9)/J4)</f>
        <v>0.26568917716296869</v>
      </c>
      <c r="L26">
        <f>(L8+L9+($L$40+$L$41)*L7)/L4</f>
        <v>0.64242785429467286</v>
      </c>
      <c r="M26" s="48">
        <f>(SQRT(SUMSQ(
(100*(M4/L4)),
(100*(SQRT(SUMSQ(M8,M9)))/(L8+L9))
)))
*0.01*((L8+L9)/L4)</f>
        <v>0.34401911732185819</v>
      </c>
      <c r="O26">
        <f>(O8+O9+($L$40+$L$41)*O7)/O4</f>
        <v>0.82574957160492035</v>
      </c>
      <c r="P26" s="48">
        <f>(SQRT(SUMSQ(
(100*(P4/O4)),
(100*(SQRT(SUMSQ(P8,P9)))/(O8+O9))
)))
*0.01*((O8+O9)/O4)</f>
        <v>0.10717746076936123</v>
      </c>
    </row>
    <row r="27" spans="1:16" x14ac:dyDescent="0.25">
      <c r="A27" s="2" t="s">
        <v>45</v>
      </c>
      <c r="B27">
        <f>(B12+B14*$L$38)/B11</f>
        <v>0.94582515916575582</v>
      </c>
      <c r="C27" s="48">
        <f>(SQRT(SUMSQ(
(100*C11/B11),
(100*C12/B12)
)))
*0.01*(B12/B11)</f>
        <v>5.1636787411003859E-2</v>
      </c>
      <c r="D27">
        <f>(D12+D14*$L$38)/D11</f>
        <v>0.9664789125031179</v>
      </c>
      <c r="E27" s="48">
        <f>(SQRT(SUMSQ(
(100*E11/D11),
(100*E12/D12)
)))
*0.01*(D12/D11)</f>
        <v>1.935011283743001E-2</v>
      </c>
      <c r="F27">
        <f>(F12+F14*$L$38)/F11</f>
        <v>0.94092324272288519</v>
      </c>
      <c r="G27" s="48">
        <f>(SQRT(SUMSQ(
(100*G11/F11),
(100*G12/F12)
)))
*0.01*(F12/F11)</f>
        <v>3.5790736438407848E-2</v>
      </c>
      <c r="H27">
        <f>(H12+H14*$L$38)/H11</f>
        <v>0.90871513308796226</v>
      </c>
      <c r="I27" s="48">
        <f>(SQRT(SUMSQ(
(100*I11/H11),
(100*I12/H12)
)))
*0.01*(H12/H11)</f>
        <v>5.6702809142810395E-2</v>
      </c>
      <c r="J27">
        <f>(J12+J14*$L$38)/J11</f>
        <v>0.87990986464580556</v>
      </c>
      <c r="K27" s="48">
        <f>(SQRT(SUMSQ(
(100*K11/J11),
(100*K12/J12)
)))
*0.01*(J12/J11)</f>
        <v>5.155831296998082E-2</v>
      </c>
      <c r="L27">
        <f>(L12+L14*$L$38)/L11</f>
        <v>0.8145351870878289</v>
      </c>
      <c r="M27" s="48">
        <f>(SQRT(SUMSQ(
(100*M11/L11),
(100*M12/L12)
)))
*0.01*(L12/L11)</f>
        <v>0.16943343626844176</v>
      </c>
      <c r="O27">
        <f>(O12+O14*$L$38)/O11</f>
        <v>0.91009787887509497</v>
      </c>
      <c r="P27" s="48">
        <f>(SQRT(SUMSQ(
(100*P11/O11),
(100*P12/O12)
)))
*0.01*(O12/O11)</f>
        <v>2.6893719274721974E-2</v>
      </c>
    </row>
    <row r="28" spans="1:16" x14ac:dyDescent="0.25">
      <c r="A28" s="2" t="s">
        <v>46</v>
      </c>
      <c r="B28">
        <f>(B19+B20*$L$39)/B17</f>
        <v>0.96474683440668829</v>
      </c>
      <c r="C28" s="48">
        <f>(SQRT(SUMSQ(
(100*C17/B17),
(100*C19/B19)
)))
*0.01*(B19/B17)</f>
        <v>9.0084810471839027E-2</v>
      </c>
      <c r="D28">
        <f>(D19+D20*$L$39)/D17</f>
        <v>0.92671986786295113</v>
      </c>
      <c r="E28" s="48">
        <f>(SQRT(SUMSQ(
(100*E17/D17),
(100*E19/D19)
)))
*0.01*(D19/D17)</f>
        <v>4.9403745332064757E-2</v>
      </c>
      <c r="F28">
        <f>(F19+F20*$L$39)/F17</f>
        <v>0.87032485994524633</v>
      </c>
      <c r="G28" s="48">
        <f>(SQRT(SUMSQ(
(100*G17/F17),
(100*G19/F19)
)))
*0.01*(F19/F17)</f>
        <v>6.6573449821195271E-2</v>
      </c>
      <c r="H28">
        <f>(H19+H20*$L$39)/H17</f>
        <v>0.82072639777756418</v>
      </c>
      <c r="I28" s="48">
        <f>(SQRT(SUMSQ(
(100*I17/H17),
(100*I19/H19)
)))
*0.01*(H19/H17)</f>
        <v>8.0507961282812984E-2</v>
      </c>
      <c r="J28">
        <f>(J19+J20*$L$39)/J17</f>
        <v>0.62210729405402765</v>
      </c>
      <c r="K28" s="48">
        <f>(SQRT(SUMSQ(
(100*K17/J17),
(100*K19/J19)
)))
*0.01*(J19/J17)</f>
        <v>6.4189209275303666E-2</v>
      </c>
      <c r="L28">
        <f>(L19+L20*$L$39)/L17</f>
        <v>0.36955939480107591</v>
      </c>
      <c r="M28" s="48">
        <f>(SQRT(SUMSQ(
(100*M17/L17),
(100*M19/L19)
)))
*0.01*(L19/L17)</f>
        <v>1.9019886914359702E-2</v>
      </c>
      <c r="O28">
        <f>(O19+O20*$L$39)/O17</f>
        <v>0.72116329436351312</v>
      </c>
      <c r="P28" s="48">
        <f>(SQRT(SUMSQ(
(100*P17/O17),
(100*P19/O19)
)))
*0.01*(O19/O17)</f>
        <v>3.1864379676875665E-2</v>
      </c>
    </row>
    <row r="30" spans="1:16" x14ac:dyDescent="0.25">
      <c r="A30" t="s">
        <v>114</v>
      </c>
      <c r="B30" s="46">
        <v>1</v>
      </c>
      <c r="C30" s="47">
        <f>B30</f>
        <v>1</v>
      </c>
      <c r="D30" s="45">
        <v>2</v>
      </c>
      <c r="E30" s="47">
        <f>D30</f>
        <v>2</v>
      </c>
      <c r="F30" s="45">
        <v>2.8</v>
      </c>
      <c r="G30" s="47">
        <f>F30</f>
        <v>2.8</v>
      </c>
      <c r="H30" s="45">
        <v>4</v>
      </c>
      <c r="I30" s="47">
        <f>H30</f>
        <v>4</v>
      </c>
      <c r="J30" s="45">
        <v>5.6</v>
      </c>
      <c r="K30" s="47">
        <f>J30</f>
        <v>5.6</v>
      </c>
      <c r="L30" s="45">
        <v>8</v>
      </c>
      <c r="M30" s="47">
        <f>L30</f>
        <v>8</v>
      </c>
      <c r="O30" t="s">
        <v>78</v>
      </c>
    </row>
    <row r="31" spans="1:16" x14ac:dyDescent="0.25">
      <c r="A31" s="2" t="s">
        <v>77</v>
      </c>
      <c r="B31">
        <f>(B9+B8)/(B8+B9+B15+B16+B21+B22+(B20+B14+B7)*($L$40+$L$41))</f>
        <v>0.70951872389403459</v>
      </c>
      <c r="C31" s="48">
        <f>SQRT(SUMSQ((100*(SQRT(SUMSQ(C8,C9,C15,C16,C21,C22)))/(B8+B9+B15+B16+B21+B22)),(100*(SQRT(SUMSQ(C8,C9)))/(B9+B8))))*0.01*((B8+B9)/(B8+B9+B15+B16+B21+B22))</f>
        <v>0.1027959003396802</v>
      </c>
      <c r="D31">
        <f>(D9+D8)/(D8+D9+D15+D16+D21+D22+(D20+D14+D7)*($L$40+$L$41))</f>
        <v>0.67257059459573398</v>
      </c>
      <c r="E31" s="48">
        <f>SQRT(SUMSQ((100*(SQRT(SUMSQ(E8,E9,E15,E16,E21,E22)))/(D8+D9+D15+D16+D21+D22)),(100*(SQRT(SUMSQ(E8,E9)))/(D9+D8))))*0.01*((D8+D9)/(D8+D9+D15+D16+D21+D22))</f>
        <v>0.34813364283362941</v>
      </c>
      <c r="F31">
        <f>(F9+F8)/(F8+F9+F15+F16+F21+F22+(F20+F14+F7)*($L$40+$L$41))</f>
        <v>0.44380855730346497</v>
      </c>
      <c r="G31" s="48">
        <f>SQRT(SUMSQ((100*(SQRT(SUMSQ(G8,G9,G15,G16,G21,G22)))/(F8+F9+F15+F16+F21+F22)),(100*(SQRT(SUMSQ(G8,G9)))/(F9+F8))))*0.01*((F8+F9)/(F8+F9+F15+F16+F21+F22))</f>
        <v>3.2879275442264419E-2</v>
      </c>
      <c r="H31">
        <f>(H9+H8)/(H8+H9+H15+H16+H21+H22+(H20+H14+H7)*($L$40+$L$41))</f>
        <v>0.29110436880509288</v>
      </c>
      <c r="I31" s="48">
        <f>SQRT(SUMSQ((100*(SQRT(SUMSQ(I8,I9,I15,I16,I21,I22)))/(H8+H9+H15+H16+H21+H22)),(100*(SQRT(SUMSQ(I8,I9)))/(H9+H8))))*0.01*((H8+H9)/(H8+H9+H15+H16+H21+H22))</f>
        <v>8.4096555625138805E-2</v>
      </c>
      <c r="J31">
        <f>(J9+J8)/(J8+J9+J15+J16+J21+J22+(J20+J14+J7)*($L$40+$L$41))</f>
        <v>0.22021003040118639</v>
      </c>
      <c r="K31" s="48">
        <f>SQRT(SUMSQ((100*(SQRT(SUMSQ(K8,K9,K15,K16,K21,K22)))/(J8+J9+J15+J16+J21+J22)),(100*(SQRT(SUMSQ(K8,K9)))/(J9+J8))))*0.01*((J8+J9)/(J8+J9+J15+J16+J21+J22))</f>
        <v>5.4878964995853055E-2</v>
      </c>
      <c r="L31">
        <f>(L9+L8)/(L8+L9+L15+L16+L21+L22+(L20+L14+L7)*($L$40+$L$41))</f>
        <v>8.3402000987536362E-2</v>
      </c>
      <c r="M31" s="48">
        <f>SQRT(SUMSQ((100*(SQRT(SUMSQ(M8,M9,M15,M16,M21,M22)))/(L8+L9+L15+L16+L21+L22)),(100*(SQRT(SUMSQ(M8,M9)))/(L9+L8))))*0.01*((L8+L9)/(L8+L9+L15+L16+L21+L22))</f>
        <v>1.5413395254689382E-2</v>
      </c>
      <c r="O31">
        <f>(O9+O8)/(O8+O9+O15+O16+O21+O22+(O20+O14+O7)*($L$40+$L$41))</f>
        <v>0.30908213287004083</v>
      </c>
      <c r="P31" s="48">
        <f>SQRT(SUMSQ((100*(SQRT(SUMSQ(P8,P9,P15,P16,P21,P22)))/(O8+O9+O15+O16+O21+O22)),(100*(SQRT(SUMSQ(P8,P9)))/(O9+O8))))*0.01*((O8+O9)/(O8+O9+O15+O16+O21+O22))</f>
        <v>4.0165341385942223E-2</v>
      </c>
    </row>
    <row r="32" spans="1:16" x14ac:dyDescent="0.25">
      <c r="A32" s="2" t="s">
        <v>45</v>
      </c>
      <c r="B32">
        <f>B12/(B5+B12+B18+(B7+B14+B20)*$L$38)</f>
        <v>0.98378453141189803</v>
      </c>
      <c r="C32" s="48">
        <f>(SQRT(SUMSQ((100*((SQRT(SUMSQ(C5,C12,C18)))/(B5+B12+B18))),(100*C12/B12))))*(C12/(C5+C12+C18))*0.01</f>
        <v>2.6976526580952096E-2</v>
      </c>
      <c r="D32">
        <f>D12/(D5+D12+D18+(D7+D14+D20)*$L$38)</f>
        <v>0.9518769476320823</v>
      </c>
      <c r="E32" s="48">
        <f>(SQRT(SUMSQ((100*((SQRT(SUMSQ(E5,E12,E18)))/(D5+D12+D18))),(100*E12/D12))))*(E12/(E5+E12+E18))*0.01</f>
        <v>2.1356602599196219E-2</v>
      </c>
      <c r="F32">
        <f>F12/(F5+F12+F18+(F7+F14+F20)*$L$38)</f>
        <v>0.93812064381441684</v>
      </c>
      <c r="G32" s="48">
        <f>(SQRT(SUMSQ((100*((SQRT(SUMSQ(G5,G12,G18)))/(F5+F12+F18))),(100*G12/F12))))*(G12/(G5+G12+G18))*0.01</f>
        <v>3.108949815008075E-2</v>
      </c>
      <c r="H32">
        <f>H12/(H5+H12+H18+(H7+H14+H20)*$L$38)</f>
        <v>0.85459211222237319</v>
      </c>
      <c r="I32" s="48">
        <f>(SQRT(SUMSQ((100*((SQRT(SUMSQ(I5,I12,I18)))/(H5+H12+H18))),(100*I12/H12))))*(I12/(I5+I12+I18))*0.01</f>
        <v>7.4273056158786543E-2</v>
      </c>
      <c r="J32">
        <f>J12/(J5+J12+J18+(J7+J14+J20)*$L$38)</f>
        <v>0.65955857259457529</v>
      </c>
      <c r="K32" s="48">
        <f>(SQRT(SUMSQ((100*((SQRT(SUMSQ(K5,K12,K18)))/(J5+J12+J18))),(100*K12/J12))))*(K12/(K5+K12+K18))*0.01</f>
        <v>4.5227082283513818E-2</v>
      </c>
      <c r="L32">
        <f>L12/(L5+L12+L18+(L7+L14+L20)*$L$38)</f>
        <v>0.34202141796737012</v>
      </c>
      <c r="M32" s="48">
        <f>(SQRT(SUMSQ((100*((SQRT(SUMSQ(M5,M12,M18)))/(L5+L12+L18))),(100*M12/L12))))*(M12/(M5+M12+M18))*0.01</f>
        <v>0.21250968241123436</v>
      </c>
      <c r="N32" t="str">
        <f>IF(V45=M32,"yes","no")</f>
        <v>yes</v>
      </c>
      <c r="O32">
        <f>O12/(O5+O12+O18+(O7+O14+O20)*$L$38)</f>
        <v>0.78591494479885116</v>
      </c>
      <c r="P32" s="48">
        <f>(SQRT(SUMSQ((100*((SQRT(SUMSQ(P5,P12,P18)))/(O5+O12+O18))),(100*P12/O12))))*(P12/(P5+P12+P18))*0.01</f>
        <v>2.5098860179246146E-2</v>
      </c>
    </row>
    <row r="33" spans="1:25" x14ac:dyDescent="0.25">
      <c r="A33" s="2" t="s">
        <v>46</v>
      </c>
      <c r="B33">
        <f>B19/(B6+B13+B19+(B7+B14+B20)*$L$39)</f>
        <v>0.9290511028773093</v>
      </c>
      <c r="C33" s="48">
        <f>(SQRT(SUMSQ((100*((SQRT(SUMSQ(C6,C13,C19)))/(B6+B13+B19))),(100*C19/B19))))*(C19/(C6+C13+C19))*0.01</f>
        <v>4.9911011585233318E-2</v>
      </c>
      <c r="D33">
        <f>D19/(D6+D13+D19+(D7+D14+D20)*$L$39)</f>
        <v>0.95194805858462095</v>
      </c>
      <c r="E33" s="48">
        <f>(SQRT(SUMSQ((100*((SQRT(SUMSQ(E6,E13,E19)))/(D6+D13+D19))),(100*E19/D19))))*(E19/(E6+E13+E19))*0.01</f>
        <v>4.0004805898833082E-2</v>
      </c>
      <c r="F33">
        <f>F19/(F6+F13+F19+(F7+F14+F20)*$L$39)</f>
        <v>0.90430170732487736</v>
      </c>
      <c r="G33" s="48">
        <f>(SQRT(SUMSQ((100*((SQRT(SUMSQ(G6,G13,G19)))/(F6+F13+F19))),(100*G19/F19))))*(G19/(G6+G13+G19))*0.01</f>
        <v>5.7137851645827908E-2</v>
      </c>
      <c r="H33">
        <f>H19/(H6+H13+H19+(H7+H14+H20)*$L$39)</f>
        <v>0.83218943557543745</v>
      </c>
      <c r="I33" s="48">
        <f>(SQRT(SUMSQ((100*((SQRT(SUMSQ(I6,I13,I19)))/(H6+H13+H19))),(100*I19/H19))))*(I19/(I6+I13+I19))*0.01</f>
        <v>8.4163948854086471E-2</v>
      </c>
      <c r="J33">
        <f>J19/(J6+J13+J19+(J7+J14+J20)*$L$39)</f>
        <v>0.66147646994553777</v>
      </c>
      <c r="K33" s="48">
        <f>(SQRT(SUMSQ((100*((SQRT(SUMSQ(K6,K13,K19)))/(J6+J13+J19))),(100*K19/J19))))*(K19/(K6+K13+K19))*0.01</f>
        <v>0.10752528083276099</v>
      </c>
      <c r="L33">
        <f>L19/(L6+L13+L19+(L7+L14+L20)*$L$39)</f>
        <v>0.36107697600078409</v>
      </c>
      <c r="M33" s="48">
        <f>(SQRT(SUMSQ((100*((SQRT(SUMSQ(M6,M13,M19)))/(L6+L13+L19))),(100*M19/L19))))*(M19/(M6+M13+M19))*0.01</f>
        <v>4.9071396341896591E-2</v>
      </c>
      <c r="O33">
        <f>O19/(O6+O13+O19+(O7+O14+O20)*$L$39)</f>
        <v>0.78048727005179275</v>
      </c>
      <c r="P33" s="48">
        <f>(SQRT(SUMSQ((100*((SQRT(SUMSQ(P6,P13,P19)))/(O6+O13+O19))),(100*P19/O19))))*(P19/(P6+P13+P19))*0.01</f>
        <v>3.4111063496423379E-2</v>
      </c>
    </row>
    <row r="35" spans="1:25" x14ac:dyDescent="0.25">
      <c r="R35" t="s">
        <v>80</v>
      </c>
      <c r="T35" t="s">
        <v>81</v>
      </c>
      <c r="U35" t="s">
        <v>82</v>
      </c>
      <c r="V35" t="s">
        <v>83</v>
      </c>
    </row>
    <row r="36" spans="1:25" x14ac:dyDescent="0.25">
      <c r="A36" s="41"/>
      <c r="B36" t="s">
        <v>62</v>
      </c>
      <c r="R36" t="s">
        <v>22</v>
      </c>
      <c r="S36" t="s">
        <v>84</v>
      </c>
      <c r="T36">
        <f>SQRT(SUMSQ(C5,C12,C18))</f>
        <v>8.1390199069024061E-2</v>
      </c>
      <c r="U36" s="16">
        <f>C12</f>
        <v>8.1023378669432405E-2</v>
      </c>
      <c r="V36" s="27">
        <f>V37*(C12/(C5+C12+C18))*0.01</f>
        <v>2.6976526580952096E-2</v>
      </c>
      <c r="W36" t="s">
        <v>85</v>
      </c>
    </row>
    <row r="37" spans="1:25" x14ac:dyDescent="0.25">
      <c r="A37" s="41"/>
      <c r="B37" t="s">
        <v>86</v>
      </c>
      <c r="C37" t="s">
        <v>63</v>
      </c>
      <c r="D37" t="s">
        <v>87</v>
      </c>
      <c r="E37" t="s">
        <v>63</v>
      </c>
      <c r="G37" t="s">
        <v>88</v>
      </c>
      <c r="I37" t="s">
        <v>89</v>
      </c>
      <c r="L37" t="str">
        <f>I37</f>
        <v>Dry Ratio</v>
      </c>
      <c r="R37" t="s">
        <v>22</v>
      </c>
      <c r="S37" t="s">
        <v>90</v>
      </c>
      <c r="T37">
        <f>100*(T36/(B5+B12+B18))</f>
        <v>2.1252530487750043</v>
      </c>
      <c r="U37">
        <f>100*C12/B12</f>
        <v>2.1289289135788279</v>
      </c>
      <c r="V37">
        <f>SQRT(SUMSQ(T37,U37))</f>
        <v>3.0081620369254347</v>
      </c>
    </row>
    <row r="38" spans="1:25" x14ac:dyDescent="0.25">
      <c r="A38" s="41" t="s">
        <v>45</v>
      </c>
      <c r="B38">
        <f>'R0025_Gen1_Total'!I26</f>
        <v>11.17344579124228</v>
      </c>
      <c r="C38">
        <f>'R0025_Gen1_Total'!J26</f>
        <v>0.90898924923666502</v>
      </c>
      <c r="D38">
        <f>'R0025_Gen1_Total'!K26</f>
        <v>20.499695896148957</v>
      </c>
      <c r="E38">
        <f>'R0025_Gen1_Total'!L26</f>
        <v>1.0636831393524142</v>
      </c>
      <c r="G38">
        <f>B38/SUM(B$38:B$41)</f>
        <v>0.6576205682177434</v>
      </c>
      <c r="I38">
        <f>D38/SUM(D$38:D$41)</f>
        <v>0.61999012577357038</v>
      </c>
      <c r="J38">
        <f>SQRT((SQRT(SUMSQ(E$38:E$41))/SUM(D$38:D$41))^2+(E38/D38)^2)*I38</f>
        <v>4.6062194211100929E-2</v>
      </c>
      <c r="L38" s="42">
        <f>I38</f>
        <v>0.61999012577357038</v>
      </c>
      <c r="M38">
        <f>J38</f>
        <v>4.6062194211100929E-2</v>
      </c>
    </row>
    <row r="39" spans="1:25" x14ac:dyDescent="0.25">
      <c r="A39" s="41" t="s">
        <v>46</v>
      </c>
      <c r="B39">
        <f>'R0025_Gen1_Total'!I27</f>
        <v>5.4754540524003872</v>
      </c>
      <c r="C39">
        <f>'R0025_Gen1_Total'!J27</f>
        <v>0.81730383106044435</v>
      </c>
      <c r="D39">
        <f>'R0025_Gen1_Total'!K27</f>
        <v>10.883921274804123</v>
      </c>
      <c r="E39">
        <f>'R0025_Gen1_Total'!L27</f>
        <v>0.97687716717221584</v>
      </c>
      <c r="G39">
        <f>B39/SUM(B$38:B$41)</f>
        <v>0.32226148248841591</v>
      </c>
      <c r="I39">
        <f>D39/SUM(D$38:D$41)</f>
        <v>0.32917189378126832</v>
      </c>
      <c r="J39">
        <f t="shared" ref="J39:J41" si="3">SQRT((SQRT(SUMSQ(E$38:E$41))/SUM(D$38:D$41))^2+(E39/D39)^2)*I39</f>
        <v>3.4340097002189832E-2</v>
      </c>
      <c r="L39" s="42">
        <f>I39</f>
        <v>0.32917189378126832</v>
      </c>
      <c r="M39">
        <f t="shared" ref="M39:M41" si="4">J39</f>
        <v>3.4340097002189832E-2</v>
      </c>
      <c r="R39" s="49"/>
      <c r="S39" s="49"/>
      <c r="T39" s="49" t="s">
        <v>91</v>
      </c>
      <c r="U39" s="49" t="s">
        <v>92</v>
      </c>
      <c r="V39" s="49" t="s">
        <v>93</v>
      </c>
      <c r="W39" s="49" t="s">
        <v>94</v>
      </c>
      <c r="X39" s="49" t="s">
        <v>79</v>
      </c>
      <c r="Y39" s="49"/>
    </row>
    <row r="40" spans="1:25" x14ac:dyDescent="0.25">
      <c r="A40" s="41" t="s">
        <v>47</v>
      </c>
      <c r="B40">
        <f>'R0025_Gen1_Total'!I28</f>
        <v>0.3770805936875492</v>
      </c>
      <c r="C40">
        <f>'R0025_Gen1_Total'!J28</f>
        <v>0.48459153958920226</v>
      </c>
      <c r="D40">
        <f>'R0025_Gen1_Total'!K28</f>
        <v>1.2715718187388942</v>
      </c>
      <c r="E40">
        <f>'R0025_Gen1_Total'!L28</f>
        <v>0.61055665657933733</v>
      </c>
      <c r="G40">
        <f>B40/SUM(B$38:B$41)</f>
        <v>2.2193328621959493E-2</v>
      </c>
      <c r="I40">
        <f>D40/SUM(D$38:D$41)</f>
        <v>3.8457252040414669E-2</v>
      </c>
      <c r="J40">
        <f t="shared" si="3"/>
        <v>1.8578478467386167E-2</v>
      </c>
      <c r="L40" s="42">
        <f>I40</f>
        <v>3.8457252040414669E-2</v>
      </c>
      <c r="M40">
        <f t="shared" si="4"/>
        <v>1.8578478467386167E-2</v>
      </c>
      <c r="R40" s="49" t="s">
        <v>22</v>
      </c>
      <c r="S40" s="49" t="s">
        <v>84</v>
      </c>
      <c r="T40" s="49">
        <f>SQRT(SUMSQ(C20,C14,C7))</f>
        <v>1.6600593378748453E-2</v>
      </c>
      <c r="U40" s="49">
        <f>M38</f>
        <v>4.6062194211100929E-2</v>
      </c>
      <c r="V40" s="49" t="e">
        <f>V41*0.01*(#REF!*(B20+B14+B7))</f>
        <v>#REF!</v>
      </c>
      <c r="W40" s="49" t="e">
        <f>SQRT(SUMSQ(V40,C18,C12,C5))</f>
        <v>#REF!</v>
      </c>
      <c r="X40" s="50" t="e">
        <f>X41*0.01*(B12/((B5+B12+B18+(#REF!*(B20+B14+B7)))))</f>
        <v>#REF!</v>
      </c>
      <c r="Y40" s="49" t="s">
        <v>95</v>
      </c>
    </row>
    <row r="41" spans="1:25" x14ac:dyDescent="0.25">
      <c r="A41" s="41" t="s">
        <v>48</v>
      </c>
      <c r="B41">
        <f>'R0025_Gen1_Total'!I29</f>
        <v>-3.5262185429880688E-2</v>
      </c>
      <c r="C41">
        <f>'R0025_Gen1_Total'!J29</f>
        <v>0.11705824898421777</v>
      </c>
      <c r="D41">
        <f>'R0025_Gen1_Total'!K29</f>
        <v>0.40936324099266708</v>
      </c>
      <c r="E41">
        <f>'R0025_Gen1_Total'!L29</f>
        <v>0.79537561970492365</v>
      </c>
      <c r="G41">
        <f>B41/SUM(B$38:B$41)</f>
        <v>-2.0753793281185614E-3</v>
      </c>
      <c r="I41">
        <f>D41/SUM(D$38:D$41)</f>
        <v>1.2380728404746666E-2</v>
      </c>
      <c r="J41">
        <f t="shared" si="3"/>
        <v>2.406424298272742E-2</v>
      </c>
      <c r="L41" s="42">
        <f>I41</f>
        <v>1.2380728404746666E-2</v>
      </c>
      <c r="M41">
        <f t="shared" si="4"/>
        <v>2.406424298272742E-2</v>
      </c>
      <c r="R41" s="49" t="s">
        <v>22</v>
      </c>
      <c r="S41" s="49" t="s">
        <v>90</v>
      </c>
      <c r="T41" s="49">
        <f>100*(T40/(B7+B14+B20))</f>
        <v>26.466406378558943</v>
      </c>
      <c r="U41" s="49" t="e">
        <f>100*M38/#REF!</f>
        <v>#REF!</v>
      </c>
      <c r="V41" s="49" t="e">
        <f>SQRT(SUMSQ(T41,U41))</f>
        <v>#REF!</v>
      </c>
      <c r="W41" s="49" t="e">
        <f>100*W40/(B5+B12+B18+(#REF!*(B20+B14+B7)))</f>
        <v>#REF!</v>
      </c>
      <c r="X41" s="49" t="e">
        <f>SQRT(SUMSQ(U37,W41))</f>
        <v>#REF!</v>
      </c>
      <c r="Y41" s="49"/>
    </row>
    <row r="42" spans="1:25" x14ac:dyDescent="0.25">
      <c r="A42" s="41"/>
    </row>
    <row r="44" spans="1:25" x14ac:dyDescent="0.25">
      <c r="A44" s="53" t="s">
        <v>75</v>
      </c>
      <c r="B44" s="54">
        <f>B25</f>
        <v>1</v>
      </c>
      <c r="C44" s="55">
        <f>D25</f>
        <v>2</v>
      </c>
      <c r="D44" s="55">
        <f>F25</f>
        <v>2.8</v>
      </c>
      <c r="E44" s="55">
        <f>H25</f>
        <v>4</v>
      </c>
      <c r="F44" s="55">
        <f>J25</f>
        <v>5.6</v>
      </c>
      <c r="G44" s="55">
        <f>L25</f>
        <v>8</v>
      </c>
      <c r="R44" t="s">
        <v>80</v>
      </c>
      <c r="T44" t="s">
        <v>96</v>
      </c>
      <c r="U44" t="s">
        <v>97</v>
      </c>
      <c r="V44" t="s">
        <v>98</v>
      </c>
    </row>
    <row r="45" spans="1:25" x14ac:dyDescent="0.25">
      <c r="A45" s="2" t="str">
        <f>A26</f>
        <v>Insulators</v>
      </c>
      <c r="B45" s="51">
        <f>B26*100</f>
        <v>86.744648548100685</v>
      </c>
      <c r="C45" s="52">
        <f>D26*100</f>
        <v>96.381366796311099</v>
      </c>
      <c r="D45" s="52">
        <f>F26*100</f>
        <v>98.911649792877611</v>
      </c>
      <c r="E45" s="52">
        <f>H26*100</f>
        <v>70.384157854526137</v>
      </c>
      <c r="F45" s="52">
        <f>J26*100</f>
        <v>77.78452195030323</v>
      </c>
      <c r="G45" s="52">
        <f>L26*100</f>
        <v>64.24278542946729</v>
      </c>
      <c r="I45" s="52"/>
      <c r="J45" s="52">
        <f>O26*100</f>
        <v>82.574957160492033</v>
      </c>
      <c r="R45" t="s">
        <v>5</v>
      </c>
      <c r="S45" t="s">
        <v>84</v>
      </c>
      <c r="T45">
        <f>SQRT(SUMSQ(M5,M12,M18))</f>
        <v>0.24673846123315207</v>
      </c>
      <c r="U45" s="16">
        <f>M12</f>
        <v>0.24345749782918569</v>
      </c>
      <c r="V45" s="27">
        <f>V46*(M12/(M5+M12+M18))*0.01</f>
        <v>0.21250968241123436</v>
      </c>
      <c r="W45" t="s">
        <v>85</v>
      </c>
    </row>
    <row r="46" spans="1:25" x14ac:dyDescent="0.25">
      <c r="A46" s="2" t="str">
        <f>A27</f>
        <v>Cathode</v>
      </c>
      <c r="B46" s="51">
        <f>B27*100</f>
        <v>94.582515916575588</v>
      </c>
      <c r="C46" s="52">
        <f>D27*100</f>
        <v>96.647891250311787</v>
      </c>
      <c r="D46" s="52">
        <f>F27*100</f>
        <v>94.092324272288522</v>
      </c>
      <c r="E46" s="52">
        <f>H27*100</f>
        <v>90.871513308796224</v>
      </c>
      <c r="F46" s="52">
        <f>J27*100</f>
        <v>87.990986464580558</v>
      </c>
      <c r="G46" s="52">
        <f>L27*100</f>
        <v>81.453518708782894</v>
      </c>
      <c r="J46" s="52">
        <f>O27*100</f>
        <v>91.009787887509503</v>
      </c>
      <c r="L46">
        <f>0.87*J46</f>
        <v>79.178515462133262</v>
      </c>
      <c r="R46" t="s">
        <v>5</v>
      </c>
      <c r="S46" t="s">
        <v>90</v>
      </c>
      <c r="T46">
        <f>100*(T45/(L5+L12+L18))</f>
        <v>17.377346826246239</v>
      </c>
      <c r="U46">
        <f>100*M12/L12</f>
        <v>17.625759656966128</v>
      </c>
      <c r="V46">
        <f>SQRT(SUMSQ(T46,U46))</f>
        <v>24.751557248076029</v>
      </c>
    </row>
    <row r="47" spans="1:25" x14ac:dyDescent="0.25">
      <c r="A47" s="2" t="str">
        <f>A28</f>
        <v>Anode</v>
      </c>
      <c r="B47" s="51">
        <f>B28*100</f>
        <v>96.474683440668827</v>
      </c>
      <c r="C47" s="52">
        <f>D28*100</f>
        <v>92.671986786295108</v>
      </c>
      <c r="D47" s="52">
        <f>F28*100</f>
        <v>87.032485994524635</v>
      </c>
      <c r="E47" s="52">
        <f>H28*100</f>
        <v>82.072639777756422</v>
      </c>
      <c r="F47" s="52">
        <f>J28*100</f>
        <v>62.210729405402766</v>
      </c>
      <c r="G47" s="52">
        <f>L28*100</f>
        <v>36.955939480107588</v>
      </c>
      <c r="J47" s="52">
        <f>O28*100</f>
        <v>72.116329436351307</v>
      </c>
    </row>
    <row r="48" spans="1:25" x14ac:dyDescent="0.25">
      <c r="B48" s="52"/>
      <c r="C48" s="52"/>
      <c r="D48" s="52"/>
      <c r="E48" s="52"/>
      <c r="F48" s="52"/>
      <c r="G48" s="52"/>
      <c r="R48" s="49"/>
      <c r="S48" s="49"/>
      <c r="T48" s="49" t="s">
        <v>99</v>
      </c>
      <c r="U48" s="49" t="s">
        <v>92</v>
      </c>
      <c r="V48" s="49" t="s">
        <v>100</v>
      </c>
      <c r="W48" s="49" t="s">
        <v>101</v>
      </c>
      <c r="X48" s="49" t="s">
        <v>102</v>
      </c>
      <c r="Y48" s="49"/>
    </row>
    <row r="49" spans="1:25" x14ac:dyDescent="0.25">
      <c r="A49" s="53" t="s">
        <v>78</v>
      </c>
      <c r="B49" s="54">
        <f>B30</f>
        <v>1</v>
      </c>
      <c r="C49" s="55">
        <f>D30</f>
        <v>2</v>
      </c>
      <c r="D49" s="55">
        <f>F30</f>
        <v>2.8</v>
      </c>
      <c r="E49" s="55">
        <f>H30</f>
        <v>4</v>
      </c>
      <c r="F49" s="55">
        <f>J30</f>
        <v>5.6</v>
      </c>
      <c r="G49" s="55">
        <f>L30</f>
        <v>8</v>
      </c>
      <c r="R49" s="49" t="s">
        <v>5</v>
      </c>
      <c r="S49" s="49" t="s">
        <v>84</v>
      </c>
      <c r="T49" s="49">
        <f>SQRT(SUMSQ(M20,M14,M7))</f>
        <v>0.69642540335677394</v>
      </c>
      <c r="U49" s="49">
        <f>M38</f>
        <v>4.6062194211100929E-2</v>
      </c>
      <c r="V49" s="49" t="e">
        <f>V50*0.01*(#REF!*(L20+L14+L7))</f>
        <v>#REF!</v>
      </c>
      <c r="W49" s="49" t="e">
        <f>SQRT(SUMSQ(V49,M18,M12,M5))</f>
        <v>#REF!</v>
      </c>
      <c r="X49" s="50" t="e">
        <f>X50*0.01*(L12/((L5+L12+L18+(#REF!*(L20+L14+L7)))))</f>
        <v>#REF!</v>
      </c>
      <c r="Y49" s="49" t="s">
        <v>95</v>
      </c>
    </row>
    <row r="50" spans="1:25" x14ac:dyDescent="0.25">
      <c r="A50" s="2" t="str">
        <f>A31</f>
        <v>Insulators</v>
      </c>
      <c r="B50" s="51">
        <f>B31*100</f>
        <v>70.951872389403462</v>
      </c>
      <c r="C50" s="52">
        <f>D31*100</f>
        <v>67.257059459573398</v>
      </c>
      <c r="D50" s="52">
        <f>F31*100</f>
        <v>44.380855730346497</v>
      </c>
      <c r="E50" s="52">
        <f>H31*100</f>
        <v>29.110436880509287</v>
      </c>
      <c r="F50" s="52">
        <f>J31*100</f>
        <v>22.021003040118639</v>
      </c>
      <c r="G50" s="52">
        <f>L31*100</f>
        <v>8.3402000987536358</v>
      </c>
      <c r="J50" s="52">
        <f>O31*100</f>
        <v>30.908213287004081</v>
      </c>
      <c r="R50" s="49" t="s">
        <v>5</v>
      </c>
      <c r="S50" s="49" t="s">
        <v>90</v>
      </c>
      <c r="T50" s="49">
        <f>100*(T49/(L7+L14+L20))</f>
        <v>16.488641655528944</v>
      </c>
      <c r="U50" s="49" t="e">
        <f>100*M38/#REF!</f>
        <v>#REF!</v>
      </c>
      <c r="V50" s="49" t="e">
        <f>SQRT(SUMSQ(T50,U50))</f>
        <v>#REF!</v>
      </c>
      <c r="W50" s="49" t="e">
        <f>100*W49/(L5+L12+L18+(#REF!*(L20+L14+L7)))</f>
        <v>#REF!</v>
      </c>
      <c r="X50" s="49" t="e">
        <f>SQRT(SUMSQ(U46,W50))</f>
        <v>#REF!</v>
      </c>
      <c r="Y50" s="49"/>
    </row>
    <row r="51" spans="1:25" x14ac:dyDescent="0.25">
      <c r="A51" s="2" t="str">
        <f>A32</f>
        <v>Cathode</v>
      </c>
      <c r="B51" s="51">
        <f t="shared" ref="B51:B52" si="5">B32*100</f>
        <v>98.378453141189809</v>
      </c>
      <c r="C51" s="52">
        <f>D32*100</f>
        <v>95.187694763208228</v>
      </c>
      <c r="D51" s="52">
        <f>F32*100</f>
        <v>93.812064381441687</v>
      </c>
      <c r="E51" s="52">
        <f>H32*100</f>
        <v>85.459211222237315</v>
      </c>
      <c r="F51" s="52">
        <f>J32*100</f>
        <v>65.955857259457531</v>
      </c>
      <c r="G51" s="52">
        <f>L32*100</f>
        <v>34.20214179673701</v>
      </c>
      <c r="J51" s="52">
        <f>O32*100</f>
        <v>78.591494479885114</v>
      </c>
      <c r="L51">
        <f>0.87*J51</f>
        <v>68.374600197500044</v>
      </c>
    </row>
    <row r="52" spans="1:25" x14ac:dyDescent="0.25">
      <c r="A52" s="2" t="str">
        <f>A33</f>
        <v>Anode</v>
      </c>
      <c r="B52" s="51">
        <f t="shared" si="5"/>
        <v>92.905110287730935</v>
      </c>
      <c r="C52" s="52">
        <f>D33*100</f>
        <v>95.19480585846209</v>
      </c>
      <c r="D52" s="52">
        <f>F33*100</f>
        <v>90.430170732487738</v>
      </c>
      <c r="E52" s="52">
        <f>H33*100</f>
        <v>83.218943557543739</v>
      </c>
      <c r="F52" s="52">
        <f>J33*100</f>
        <v>66.147646994553781</v>
      </c>
      <c r="G52" s="52">
        <f>L33*100</f>
        <v>36.10769760007841</v>
      </c>
      <c r="J52" s="52">
        <f>O33*100</f>
        <v>78.048727005179273</v>
      </c>
    </row>
    <row r="54" spans="1:25" x14ac:dyDescent="0.25">
      <c r="A54" s="53" t="s">
        <v>117</v>
      </c>
      <c r="B54" s="56">
        <f>C25</f>
        <v>1</v>
      </c>
      <c r="C54" s="56">
        <f>E25</f>
        <v>2</v>
      </c>
      <c r="D54" s="56">
        <f>G25</f>
        <v>2.8</v>
      </c>
      <c r="E54" s="56">
        <f>I25</f>
        <v>4</v>
      </c>
      <c r="F54" s="56">
        <f>K25</f>
        <v>5.6</v>
      </c>
      <c r="G54" s="56">
        <f>M25</f>
        <v>8</v>
      </c>
      <c r="R54" t="s">
        <v>103</v>
      </c>
      <c r="S54" t="s">
        <v>104</v>
      </c>
      <c r="T54">
        <f>(L9+L8)/(L8+L9+L15+L16+L21+L22)</f>
        <v>9.8794408559396071E-2</v>
      </c>
    </row>
    <row r="55" spans="1:25" x14ac:dyDescent="0.25">
      <c r="A55" s="2" t="str">
        <f>A26&amp;"-err"</f>
        <v>Insulators-err</v>
      </c>
      <c r="B55" s="40">
        <f>C26*100</f>
        <v>12.198374244977828</v>
      </c>
      <c r="C55" s="40">
        <f>E26*100</f>
        <v>52.808604472067699</v>
      </c>
      <c r="D55" s="40">
        <f>G26*100</f>
        <v>7.4350780753224894</v>
      </c>
      <c r="E55" s="40">
        <f>I26*100</f>
        <v>9.5008196927029616</v>
      </c>
      <c r="F55" s="40">
        <f>K26*100</f>
        <v>26.56891771629687</v>
      </c>
      <c r="G55" s="40">
        <f>M26*100</f>
        <v>34.401911732185816</v>
      </c>
      <c r="T55" t="s">
        <v>105</v>
      </c>
      <c r="U55" t="s">
        <v>106</v>
      </c>
    </row>
    <row r="56" spans="1:25" x14ac:dyDescent="0.25">
      <c r="A56" s="2" t="str">
        <f>A27&amp;"-err"</f>
        <v>Cathode-err</v>
      </c>
      <c r="B56" s="40">
        <f t="shared" ref="B56:B57" si="6">C27*100</f>
        <v>5.1636787411003855</v>
      </c>
      <c r="C56" s="40">
        <f>E27*100</f>
        <v>1.9350112837430009</v>
      </c>
      <c r="D56" s="40">
        <f>G27*100</f>
        <v>3.5790736438407849</v>
      </c>
      <c r="E56" s="40">
        <f>I27*100</f>
        <v>5.6702809142810393</v>
      </c>
      <c r="F56" s="40">
        <f>K27*100</f>
        <v>5.1558312969980822</v>
      </c>
      <c r="G56" s="40">
        <f>M27*100</f>
        <v>16.943343626844175</v>
      </c>
      <c r="T56" t="s">
        <v>107</v>
      </c>
      <c r="U56" t="s">
        <v>108</v>
      </c>
    </row>
    <row r="57" spans="1:25" x14ac:dyDescent="0.25">
      <c r="A57" s="2" t="str">
        <f>A28&amp;"-err"</f>
        <v>Anode-err</v>
      </c>
      <c r="B57" s="40">
        <f t="shared" si="6"/>
        <v>9.0084810471839027</v>
      </c>
      <c r="C57" s="40">
        <f>E28*100</f>
        <v>4.9403745332064757</v>
      </c>
      <c r="D57" s="40">
        <f>G28*100</f>
        <v>6.6573449821195272</v>
      </c>
      <c r="E57" s="40">
        <f>I28*100</f>
        <v>8.0507961282812985</v>
      </c>
      <c r="F57" s="40">
        <f>K28*100</f>
        <v>6.4189209275303662</v>
      </c>
      <c r="G57" s="40">
        <f>M28*100</f>
        <v>1.9019886914359703</v>
      </c>
      <c r="R57" t="s">
        <v>103</v>
      </c>
      <c r="S57" t="s">
        <v>84</v>
      </c>
      <c r="T57">
        <f>SQRT(SUMSQ(M8,M9))</f>
        <v>1.5703330901233124E-2</v>
      </c>
      <c r="U57">
        <f>SQRT(SUMSQ(M8,M9,M15,M16,M21,M22))</f>
        <v>8.7652318367012261E-2</v>
      </c>
      <c r="V57">
        <f>V58*0.01*((L8+L9)/(L8+L9+L15+L16+L21+L22))</f>
        <v>1.5413395254689382E-2</v>
      </c>
    </row>
    <row r="58" spans="1:25" x14ac:dyDescent="0.25">
      <c r="R58" t="s">
        <v>103</v>
      </c>
      <c r="S58" t="s">
        <v>90</v>
      </c>
      <c r="T58">
        <f>100*T57/(L9+L8)</f>
        <v>13.661912081353375</v>
      </c>
      <c r="U58">
        <f>100*U57/(L8+L9+L15+L16+L21+L22)</f>
        <v>7.533824117229714</v>
      </c>
      <c r="V58">
        <f>SQRT(SUMSQ(U58,T58))</f>
        <v>15.601485427611738</v>
      </c>
    </row>
    <row r="59" spans="1:25" x14ac:dyDescent="0.25">
      <c r="A59" s="53" t="s">
        <v>118</v>
      </c>
      <c r="B59" s="56">
        <f>C30</f>
        <v>1</v>
      </c>
      <c r="C59" s="56">
        <f>E30</f>
        <v>2</v>
      </c>
      <c r="D59" s="56">
        <f>G30</f>
        <v>2.8</v>
      </c>
      <c r="E59" s="56">
        <f>I30</f>
        <v>4</v>
      </c>
      <c r="F59" s="56">
        <f>K30</f>
        <v>5.6</v>
      </c>
      <c r="G59" s="56">
        <f>M30</f>
        <v>8</v>
      </c>
    </row>
    <row r="60" spans="1:25" x14ac:dyDescent="0.25">
      <c r="A60" s="2" t="str">
        <f>A31&amp;"-err"</f>
        <v>Insulators-err</v>
      </c>
      <c r="B60" s="40">
        <f>C31*100</f>
        <v>10.27959003396802</v>
      </c>
      <c r="C60" s="40">
        <f>E31*100</f>
        <v>34.813364283362944</v>
      </c>
      <c r="D60" s="40">
        <f>G31*100</f>
        <v>3.287927544226442</v>
      </c>
      <c r="E60" s="40">
        <f>I31*100</f>
        <v>8.4096555625138798</v>
      </c>
      <c r="F60" s="40">
        <f>K31*100</f>
        <v>5.4878964995853057</v>
      </c>
      <c r="G60" s="40">
        <f>M31*100</f>
        <v>1.5413395254689382</v>
      </c>
    </row>
    <row r="61" spans="1:25" x14ac:dyDescent="0.25">
      <c r="A61" s="2" t="str">
        <f>A32&amp;"-err"</f>
        <v>Cathode-err</v>
      </c>
      <c r="B61" s="40">
        <f t="shared" ref="B61:B62" si="7">C32*100</f>
        <v>2.6976526580952096</v>
      </c>
      <c r="C61" s="40">
        <f>E32*100</f>
        <v>2.1356602599196219</v>
      </c>
      <c r="D61" s="40">
        <f>G32*100</f>
        <v>3.1089498150080752</v>
      </c>
      <c r="E61" s="40">
        <f>I32*100</f>
        <v>7.4273056158786543</v>
      </c>
      <c r="F61" s="40">
        <f>K32*100</f>
        <v>4.522708228351382</v>
      </c>
      <c r="G61" s="40">
        <f>M32*100</f>
        <v>21.250968241123434</v>
      </c>
    </row>
    <row r="62" spans="1:25" x14ac:dyDescent="0.25">
      <c r="A62" s="2" t="str">
        <f>A33&amp;"-err"</f>
        <v>Anode-err</v>
      </c>
      <c r="B62" s="40">
        <f t="shared" si="7"/>
        <v>4.9911011585233318</v>
      </c>
      <c r="C62" s="40">
        <f>E33*100</f>
        <v>4.000480589883308</v>
      </c>
      <c r="D62" s="40">
        <f>G33*100</f>
        <v>5.7137851645827906</v>
      </c>
      <c r="E62" s="40">
        <f>I33*100</f>
        <v>8.4163948854086463</v>
      </c>
      <c r="F62" s="40">
        <f>K33*100</f>
        <v>10.752528083276099</v>
      </c>
      <c r="G62" s="40">
        <f>M33*100</f>
        <v>4.9071396341896589</v>
      </c>
    </row>
    <row r="64" spans="1:25" x14ac:dyDescent="0.25">
      <c r="A64" s="2" t="str">
        <f t="array" ref="A64:D70">TRANSPOSE(A44:G47)</f>
        <v>Grade</v>
      </c>
      <c r="B64" t="str">
        <v>Insulators</v>
      </c>
      <c r="C64" t="str">
        <v>Cathode</v>
      </c>
      <c r="D64" t="str">
        <v>Anode</v>
      </c>
      <c r="E64" t="str">
        <f t="array" ref="E64:G70">TRANSPOSE(A55:G57)</f>
        <v>Insulators-err</v>
      </c>
      <c r="F64" t="str">
        <v>Cathode-err</v>
      </c>
      <c r="G64" t="str">
        <v>Anode-err</v>
      </c>
    </row>
    <row r="65" spans="1:7" x14ac:dyDescent="0.25">
      <c r="A65" s="2">
        <v>1</v>
      </c>
      <c r="B65" s="40">
        <v>86.744648548100685</v>
      </c>
      <c r="C65" s="40">
        <v>94.582515916575588</v>
      </c>
      <c r="D65" s="40">
        <v>96.474683440668827</v>
      </c>
      <c r="E65" s="40">
        <v>12.198374244977828</v>
      </c>
      <c r="F65" s="40">
        <v>5.1636787411003855</v>
      </c>
      <c r="G65" s="40">
        <v>9.0084810471839027</v>
      </c>
    </row>
    <row r="66" spans="1:7" x14ac:dyDescent="0.25">
      <c r="A66" s="2">
        <v>2</v>
      </c>
      <c r="B66" s="40">
        <v>96.381366796311099</v>
      </c>
      <c r="C66" s="40">
        <v>96.647891250311787</v>
      </c>
      <c r="D66" s="40">
        <v>92.671986786295108</v>
      </c>
      <c r="E66" s="40">
        <v>52.808604472067699</v>
      </c>
      <c r="F66" s="40">
        <v>1.9350112837430009</v>
      </c>
      <c r="G66" s="40">
        <v>4.9403745332064757</v>
      </c>
    </row>
    <row r="67" spans="1:7" x14ac:dyDescent="0.25">
      <c r="A67" s="2">
        <v>2.8</v>
      </c>
      <c r="B67" s="40">
        <v>98.911649792877611</v>
      </c>
      <c r="C67" s="40">
        <v>94.092324272288522</v>
      </c>
      <c r="D67" s="40">
        <v>87.032485994524635</v>
      </c>
      <c r="E67" s="40">
        <v>7.4350780753224894</v>
      </c>
      <c r="F67" s="40">
        <v>3.5790736438407849</v>
      </c>
      <c r="G67" s="40">
        <v>6.6573449821195272</v>
      </c>
    </row>
    <row r="68" spans="1:7" x14ac:dyDescent="0.25">
      <c r="A68" s="2">
        <v>4</v>
      </c>
      <c r="B68" s="40">
        <v>70.384157854526137</v>
      </c>
      <c r="C68" s="40">
        <v>90.871513308796224</v>
      </c>
      <c r="D68" s="40">
        <v>82.072639777756422</v>
      </c>
      <c r="E68" s="40">
        <v>9.5008196927029616</v>
      </c>
      <c r="F68" s="40">
        <v>5.6702809142810393</v>
      </c>
      <c r="G68" s="40">
        <v>8.0507961282812985</v>
      </c>
    </row>
    <row r="69" spans="1:7" x14ac:dyDescent="0.25">
      <c r="A69" s="2">
        <v>5.6</v>
      </c>
      <c r="B69" s="40">
        <v>77.78452195030323</v>
      </c>
      <c r="C69" s="40">
        <v>87.990986464580558</v>
      </c>
      <c r="D69" s="40">
        <v>62.210729405402766</v>
      </c>
      <c r="E69" s="40">
        <v>26.56891771629687</v>
      </c>
      <c r="F69" s="40">
        <v>5.1558312969980822</v>
      </c>
      <c r="G69" s="40">
        <v>6.4189209275303662</v>
      </c>
    </row>
    <row r="70" spans="1:7" x14ac:dyDescent="0.25">
      <c r="A70" s="2">
        <v>8</v>
      </c>
      <c r="B70" s="40">
        <v>64.24278542946729</v>
      </c>
      <c r="C70" s="40">
        <v>81.453518708782894</v>
      </c>
      <c r="D70" s="40">
        <v>36.955939480107588</v>
      </c>
      <c r="E70" s="40">
        <v>34.401911732185816</v>
      </c>
      <c r="F70" s="40">
        <v>16.943343626844175</v>
      </c>
      <c r="G70" s="40">
        <v>1.9019886914359703</v>
      </c>
    </row>
    <row r="72" spans="1:7" x14ac:dyDescent="0.25">
      <c r="A72" s="2" t="str">
        <f t="array" ref="A72:D78">TRANSPOSE(A49:G52)</f>
        <v>Recovery</v>
      </c>
      <c r="B72" t="str">
        <v>Insulators</v>
      </c>
      <c r="C72" t="str">
        <v>Cathode</v>
      </c>
      <c r="D72" t="str">
        <v>Anode</v>
      </c>
      <c r="E72" t="str">
        <f t="array" ref="E72:G78">TRANSPOSE(A60:G62)</f>
        <v>Insulators-err</v>
      </c>
      <c r="F72" t="str">
        <v>Cathode-err</v>
      </c>
      <c r="G72" t="str">
        <v>Anode-err</v>
      </c>
    </row>
    <row r="73" spans="1:7" x14ac:dyDescent="0.25">
      <c r="A73" s="2">
        <v>1</v>
      </c>
      <c r="B73" s="40">
        <v>70.951872389403462</v>
      </c>
      <c r="C73" s="40">
        <v>98.378453141189809</v>
      </c>
      <c r="D73" s="40">
        <v>92.905110287730935</v>
      </c>
      <c r="E73" s="40">
        <v>10.27959003396802</v>
      </c>
      <c r="F73" s="40">
        <v>2.6976526580952096</v>
      </c>
      <c r="G73" s="40">
        <v>4.9911011585233318</v>
      </c>
    </row>
    <row r="74" spans="1:7" x14ac:dyDescent="0.25">
      <c r="A74" s="2">
        <v>2</v>
      </c>
      <c r="B74" s="40">
        <v>67.257059459573398</v>
      </c>
      <c r="C74" s="40">
        <v>95.187694763208228</v>
      </c>
      <c r="D74" s="40">
        <v>95.19480585846209</v>
      </c>
      <c r="E74" s="40">
        <v>34.813364283362944</v>
      </c>
      <c r="F74" s="40">
        <v>2.1356602599196219</v>
      </c>
      <c r="G74" s="40">
        <v>4.000480589883308</v>
      </c>
    </row>
    <row r="75" spans="1:7" x14ac:dyDescent="0.25">
      <c r="A75" s="2">
        <v>2.8</v>
      </c>
      <c r="B75" s="40">
        <v>44.380855730346497</v>
      </c>
      <c r="C75" s="40">
        <v>93.812064381441687</v>
      </c>
      <c r="D75" s="40">
        <v>90.430170732487738</v>
      </c>
      <c r="E75" s="40">
        <v>3.287927544226442</v>
      </c>
      <c r="F75" s="40">
        <v>3.1089498150080752</v>
      </c>
      <c r="G75" s="40">
        <v>5.7137851645827906</v>
      </c>
    </row>
    <row r="76" spans="1:7" x14ac:dyDescent="0.25">
      <c r="A76" s="2">
        <v>4</v>
      </c>
      <c r="B76" s="40">
        <v>29.110436880509287</v>
      </c>
      <c r="C76" s="40">
        <v>85.459211222237315</v>
      </c>
      <c r="D76" s="40">
        <v>83.218943557543739</v>
      </c>
      <c r="E76" s="40">
        <v>8.4096555625138798</v>
      </c>
      <c r="F76" s="40">
        <v>7.4273056158786543</v>
      </c>
      <c r="G76" s="40">
        <v>8.4163948854086463</v>
      </c>
    </row>
    <row r="77" spans="1:7" x14ac:dyDescent="0.25">
      <c r="A77" s="2">
        <v>5.6</v>
      </c>
      <c r="B77" s="40">
        <v>22.021003040118639</v>
      </c>
      <c r="C77" s="40">
        <v>65.955857259457531</v>
      </c>
      <c r="D77" s="40">
        <v>66.147646994553781</v>
      </c>
      <c r="E77" s="40">
        <v>5.4878964995853057</v>
      </c>
      <c r="F77" s="40">
        <v>4.522708228351382</v>
      </c>
      <c r="G77" s="40">
        <v>10.752528083276099</v>
      </c>
    </row>
    <row r="78" spans="1:7" x14ac:dyDescent="0.25">
      <c r="A78" s="2">
        <v>8</v>
      </c>
      <c r="B78" s="40">
        <v>8.3402000987536358</v>
      </c>
      <c r="C78" s="40">
        <v>34.20214179673701</v>
      </c>
      <c r="D78" s="40">
        <v>36.10769760007841</v>
      </c>
      <c r="E78" s="40">
        <v>1.5413395254689382</v>
      </c>
      <c r="F78" s="40">
        <v>21.250968241123434</v>
      </c>
      <c r="G78" s="40">
        <v>4.9071396341896589</v>
      </c>
    </row>
    <row r="82" spans="1:18" ht="15.75" thickBot="1" x14ac:dyDescent="0.3">
      <c r="B82" t="s">
        <v>57</v>
      </c>
      <c r="C82" t="s">
        <v>37</v>
      </c>
      <c r="D82" t="s">
        <v>58</v>
      </c>
      <c r="E82" s="16" t="s">
        <v>59</v>
      </c>
      <c r="F82" t="s">
        <v>60</v>
      </c>
      <c r="G82" t="s">
        <v>61</v>
      </c>
      <c r="I82" t="s">
        <v>119</v>
      </c>
      <c r="J82" t="s">
        <v>63</v>
      </c>
      <c r="K82" t="s">
        <v>64</v>
      </c>
      <c r="L82" t="s">
        <v>63</v>
      </c>
      <c r="N82" t="s">
        <v>120</v>
      </c>
      <c r="O82">
        <f>O3</f>
        <v>82.672089663045128</v>
      </c>
      <c r="Q82" t="s">
        <v>121</v>
      </c>
    </row>
    <row r="83" spans="1:18" ht="15.75" thickBot="1" x14ac:dyDescent="0.3">
      <c r="A83" s="2" t="str">
        <f>'R0025_Gen1_Liberation'!A18</f>
        <v>Cathode</v>
      </c>
      <c r="B83">
        <f>'R0025_Gen1_Liberation'!D18</f>
        <v>0.48695066509513396</v>
      </c>
      <c r="C83">
        <f>B83*100</f>
        <v>48.695066509513396</v>
      </c>
      <c r="D83">
        <f>'R0025_Gen1_Liberation'!F18*100</f>
        <v>0.24698144445625625</v>
      </c>
      <c r="E83">
        <f>C83</f>
        <v>48.695066509513396</v>
      </c>
      <c r="F83">
        <f>O5+O12+O18</f>
        <v>37.521620718271116</v>
      </c>
      <c r="G83">
        <f>SQRT(SUMSQ(C5,E5,G5,I5,K5,M5,C12,E12,G12,I12,K12,M12,C18,E18,G18,I18,K18,M18))</f>
        <v>0.87479233039741333</v>
      </c>
      <c r="I83">
        <f>E83-F83</f>
        <v>11.17344579124228</v>
      </c>
      <c r="J83">
        <f>SQRT(SUMSQ(D83,G83))</f>
        <v>0.90898924923666502</v>
      </c>
      <c r="K83">
        <f>(E83/$E$91)*100-F83</f>
        <v>20.499695896148957</v>
      </c>
      <c r="L83">
        <f>SQRT((100*SQRT((D83/E83)^2+($E$92/$E$91)^2))^2+G83^2)</f>
        <v>1.3876550374607024</v>
      </c>
      <c r="N83" t="s">
        <v>56</v>
      </c>
      <c r="O83" s="33">
        <f>O5+O6+O8+O9+O12+O13+O15+O16+O18+O19+O21+O22</f>
        <v>66.935447769315374</v>
      </c>
      <c r="Q83">
        <f>K83/$K$91</f>
        <v>0.61999012577357038</v>
      </c>
      <c r="R83">
        <f>SQRT((SQRT(SUMSQ(L$83:L$86))/SUM(K$83:K$86))^2+(L83/K83)^2)*Q83</f>
        <v>6.2968586421346603E-2</v>
      </c>
    </row>
    <row r="84" spans="1:18" x14ac:dyDescent="0.25">
      <c r="A84" s="2" t="str">
        <f>'R0025_Gen1_Liberation'!A19</f>
        <v>Anode</v>
      </c>
      <c r="B84">
        <f>'R0025_Gen1_Liberation'!D19</f>
        <v>0.2823918168041758</v>
      </c>
      <c r="C84">
        <f t="shared" ref="C84:C88" si="8">B84*100</f>
        <v>28.23918168041758</v>
      </c>
      <c r="D84">
        <f>'R0025_Gen1_Liberation'!F19*100</f>
        <v>0.1239849620185929</v>
      </c>
      <c r="E84">
        <f>C84</f>
        <v>28.23918168041758</v>
      </c>
      <c r="F84">
        <f>O6+O13+O19</f>
        <v>22.763727628017193</v>
      </c>
      <c r="G84">
        <f>SQRT(SUMSQ(C6,E6,G6,I6,K6,M6,C13,E13,G13,I13,K13,M13,C19,E19,G19,I19,K19,M19))</f>
        <v>0.80784483749005132</v>
      </c>
      <c r="I84">
        <f>E84-F84</f>
        <v>5.4754540524003872</v>
      </c>
      <c r="J84">
        <f>SQRT(SUMSQ(D84,G84))</f>
        <v>0.81730383106044435</v>
      </c>
      <c r="K84">
        <f>(E84/$E$91)*100-F84</f>
        <v>10.883921274804123</v>
      </c>
      <c r="L84">
        <f>SQRT((100*SQRT((D84/E84)^2+($E$92/$E$91)^2))^2+G84^2)</f>
        <v>1.3222910730205619</v>
      </c>
      <c r="N84" t="s">
        <v>69</v>
      </c>
      <c r="O84">
        <f>O7+O14+O20</f>
        <v>15.73614705879363</v>
      </c>
      <c r="Q84">
        <f>K84/$K$91</f>
        <v>0.32917189378126832</v>
      </c>
      <c r="R84">
        <f>SQRT((SQRT(SUMSQ(L$83:L$86))/SUM(K$83:K$86))^2+(L84/K84)^2)*Q84</f>
        <v>4.7122167576322635E-2</v>
      </c>
    </row>
    <row r="85" spans="1:18" x14ac:dyDescent="0.25">
      <c r="A85" s="2" t="str">
        <f>'R0025_Gen1_Liberation'!A20</f>
        <v>Pouch</v>
      </c>
      <c r="B85">
        <f>'R0025_Gen1_Liberation'!D20</f>
        <v>4.6703990570803169E-2</v>
      </c>
      <c r="C85">
        <f t="shared" si="8"/>
        <v>4.6703990570803171</v>
      </c>
      <c r="D85">
        <f>'R0025_Gen1_Liberation'!F20*100</f>
        <v>7.9678894277721551E-3</v>
      </c>
      <c r="E85">
        <f>C85</f>
        <v>4.6703990570803171</v>
      </c>
      <c r="F85">
        <f>O8+O15+O21</f>
        <v>4.2933184633927679</v>
      </c>
      <c r="G85">
        <f>SQRT(SUMSQ(C8,E8,G8,I8,K8,M8,C15,E15,G15,I15,K15,M15,C21,E21,G21,I21,K21,M21))</f>
        <v>0.48452602920741028</v>
      </c>
      <c r="I85">
        <f>E85-F85</f>
        <v>0.3770805936875492</v>
      </c>
      <c r="J85">
        <f>SQRT(SUMSQ(D85,G85))</f>
        <v>0.48459153958920226</v>
      </c>
      <c r="K85">
        <f>(E85/$E$91)*100-F85</f>
        <v>1.2715718187388942</v>
      </c>
      <c r="L85">
        <f>SQRT((100*SQRT((D85/E85)^2+($E$92/$E$91)^2))^2+G85^2)</f>
        <v>1.0802518747684702</v>
      </c>
      <c r="N85" t="s">
        <v>70</v>
      </c>
      <c r="O85" s="16">
        <f>'R0025_Gen1_Liberation'!$C$2</f>
        <v>2.607588469613392</v>
      </c>
      <c r="Q85">
        <f>K85/$K$91</f>
        <v>3.8457252040414669E-2</v>
      </c>
      <c r="R85">
        <f>SQRT((SQRT(SUMSQ(L$83:L$86))/SUM(K$83:K$86))^2+(L85/K85)^2)*Q85</f>
        <v>3.2800503285381075E-2</v>
      </c>
    </row>
    <row r="86" spans="1:18" x14ac:dyDescent="0.25">
      <c r="A86" s="2" t="str">
        <f>'R0025_Gen1_Liberation'!A21</f>
        <v>Separator</v>
      </c>
      <c r="B86">
        <f>'R0025_Gen1_Liberation'!D21</f>
        <v>2.3215187742044119E-2</v>
      </c>
      <c r="C86">
        <f t="shared" si="8"/>
        <v>2.3215187742044119</v>
      </c>
      <c r="D86">
        <f>'R0025_Gen1_Liberation'!F21*100</f>
        <v>1.6583616893898992E-2</v>
      </c>
      <c r="E86">
        <f>C86</f>
        <v>2.3215187742044119</v>
      </c>
      <c r="F86">
        <f>O9+O16+O22</f>
        <v>2.3567809596342926</v>
      </c>
      <c r="G86">
        <f>SQRT(SUMSQ(C9,E9,G9,I9,K9,M9,C16,E16,G16,I16,K16,M16,C22,E22,G22,I22,K22,M22))</f>
        <v>0.11587759622104485</v>
      </c>
      <c r="I86">
        <f>E86-F86</f>
        <v>-3.5262185429880688E-2</v>
      </c>
      <c r="J86">
        <f>SQRT(SUMSQ(D86,G86))</f>
        <v>0.11705824898421777</v>
      </c>
      <c r="K86">
        <f>(E86/$E$91)*100-F86</f>
        <v>0.40936324099266708</v>
      </c>
      <c r="L86">
        <f>SQRT((100*SQRT((D86/E86)^2+($E$92/$E$91)^2))^2+G86^2)</f>
        <v>1.1944819205280786</v>
      </c>
      <c r="N86" t="s">
        <v>71</v>
      </c>
      <c r="O86" s="16">
        <f>SUM('R0025_Gen1_Liberation'!$C$9,'R0025_Gen1_Liberation'!$C$10,'R0025_Gen1_Liberation'!$C$11)</f>
        <v>14.720321867341481</v>
      </c>
      <c r="Q86">
        <f>K86/$K$91</f>
        <v>1.2380728404746666E-2</v>
      </c>
      <c r="R86">
        <f>SQRT((SQRT(SUMSQ(L$83:L$86))/SUM(K$83:K$86))^2+(L86/K86)^2)*Q86</f>
        <v>3.6137915971783272E-2</v>
      </c>
    </row>
    <row r="87" spans="1:18" x14ac:dyDescent="0.25">
      <c r="A87" s="2" t="str">
        <f>'R0025_Gen1_Liberation'!A22</f>
        <v>Electrolyte</v>
      </c>
      <c r="B87">
        <f>'R0025_Gen1_Liberation'!D22</f>
        <v>0.16073833978784308</v>
      </c>
      <c r="C87">
        <f t="shared" si="8"/>
        <v>16.073833978784307</v>
      </c>
      <c r="D87">
        <f>'R0025_Gen1_Liberation'!F22*100</f>
        <v>0.22030342879139783</v>
      </c>
    </row>
    <row r="88" spans="1:18" ht="15.75" thickBot="1" x14ac:dyDescent="0.3">
      <c r="A88" s="2" t="str">
        <f>'R0025_Gen1_Liberation'!A23</f>
        <v>Whole</v>
      </c>
      <c r="B88">
        <f>'R0025_Gen1_Liberation'!D23</f>
        <v>1</v>
      </c>
      <c r="C88">
        <f t="shared" si="8"/>
        <v>100</v>
      </c>
      <c r="D88">
        <f>'R0025_Gen1_Liberation'!F23*100</f>
        <v>3.6697246535954041E-2</v>
      </c>
      <c r="N88" t="s">
        <v>122</v>
      </c>
      <c r="O88" s="16">
        <f>O86+O85+O82</f>
        <v>100</v>
      </c>
    </row>
    <row r="89" spans="1:18" ht="15.75" thickBot="1" x14ac:dyDescent="0.3">
      <c r="N89" t="s">
        <v>72</v>
      </c>
      <c r="O89" s="37">
        <f>SUM(O84:O86)</f>
        <v>33.064057395748506</v>
      </c>
    </row>
    <row r="90" spans="1:18" ht="15.75" thickBot="1" x14ac:dyDescent="0.3">
      <c r="I90" s="30"/>
      <c r="R90" s="16"/>
    </row>
    <row r="91" spans="1:18" ht="15.75" thickBot="1" x14ac:dyDescent="0.3">
      <c r="A91" s="2" t="s">
        <v>35</v>
      </c>
      <c r="E91" s="32">
        <f>SUM(E83:E86)</f>
        <v>83.926166021215693</v>
      </c>
      <c r="F91" s="35">
        <f>SUM(F83:F86)</f>
        <v>66.935447769315374</v>
      </c>
      <c r="I91" s="39">
        <f>SUM(I83:I86)</f>
        <v>16.990718251900333</v>
      </c>
      <c r="K91" s="39">
        <f>SUM(K83:K86)</f>
        <v>33.06455223068464</v>
      </c>
      <c r="N91" t="s">
        <v>73</v>
      </c>
      <c r="O91" s="31">
        <f>O89+O83</f>
        <v>99.99950516506388</v>
      </c>
    </row>
    <row r="92" spans="1:18" x14ac:dyDescent="0.25">
      <c r="A92" s="2" t="s">
        <v>63</v>
      </c>
      <c r="D92" t="s">
        <v>123</v>
      </c>
      <c r="E92">
        <f>F91/E91</f>
        <v>0.79755159734563308</v>
      </c>
      <c r="I92" t="str">
        <f>IF((ROUND(I91,J93)+ROUND(F91,J93))=ROUND(E91,J93),"ok","Something Wrong")</f>
        <v>ok</v>
      </c>
      <c r="K92" t="str">
        <f>IF(K91+F91=100,"ok","Something Wrong")</f>
        <v>ok</v>
      </c>
    </row>
    <row r="93" spans="1:18" x14ac:dyDescent="0.25">
      <c r="B93" s="16"/>
      <c r="H93" t="s">
        <v>124</v>
      </c>
      <c r="J93">
        <v>3</v>
      </c>
    </row>
  </sheetData>
  <mergeCells count="7">
    <mergeCell ref="O1:P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A907-C451-40DF-9F82-6F17451254E0}">
  <sheetPr codeName="Sheet30"/>
  <dimension ref="A2:O113"/>
  <sheetViews>
    <sheetView topLeftCell="A19" zoomScale="40" zoomScaleNormal="40" workbookViewId="0">
      <selection activeCell="V54" sqref="V54"/>
    </sheetView>
  </sheetViews>
  <sheetFormatPr defaultRowHeight="15" x14ac:dyDescent="0.25"/>
  <cols>
    <col min="3" max="3" width="13.42578125" bestFit="1" customWidth="1"/>
    <col min="4" max="4" width="10.140625" bestFit="1" customWidth="1"/>
    <col min="5" max="5" width="10.140625" customWidth="1"/>
    <col min="6" max="6" width="10.28515625" bestFit="1" customWidth="1"/>
    <col min="7" max="7" width="10.28515625" customWidth="1"/>
    <col min="8" max="8" width="19.42578125" bestFit="1" customWidth="1"/>
    <col min="9" max="9" width="2.42578125" customWidth="1"/>
    <col min="10" max="10" width="18.7109375" customWidth="1"/>
    <col min="11" max="11" width="2.42578125" customWidth="1"/>
    <col min="12" max="12" width="11.28515625" bestFit="1" customWidth="1"/>
    <col min="13" max="13" width="2.42578125" customWidth="1"/>
    <col min="14" max="14" width="18.7109375" customWidth="1"/>
    <col min="15" max="15" width="9" bestFit="1" customWidth="1"/>
    <col min="16" max="16" width="2.140625" customWidth="1"/>
  </cols>
  <sheetData>
    <row r="2" spans="1:15" x14ac:dyDescent="0.25">
      <c r="A2" t="s">
        <v>125</v>
      </c>
      <c r="L2" s="77" t="s">
        <v>126</v>
      </c>
      <c r="M2" s="16"/>
    </row>
    <row r="3" spans="1:15" ht="15.75" thickBot="1" x14ac:dyDescent="0.3">
      <c r="H3" t="s">
        <v>127</v>
      </c>
      <c r="I3" t="s">
        <v>128</v>
      </c>
      <c r="J3" s="16" t="s">
        <v>129</v>
      </c>
      <c r="L3" s="26" t="s">
        <v>130</v>
      </c>
      <c r="M3" s="16"/>
      <c r="N3" t="s">
        <v>131</v>
      </c>
      <c r="O3" t="s">
        <v>132</v>
      </c>
    </row>
    <row r="4" spans="1:15" x14ac:dyDescent="0.25">
      <c r="A4" t="s">
        <v>135</v>
      </c>
      <c r="B4" t="s">
        <v>136</v>
      </c>
      <c r="H4" t="s">
        <v>137</v>
      </c>
      <c r="I4" s="80"/>
      <c r="J4" s="81" t="s">
        <v>45</v>
      </c>
      <c r="K4" s="82" t="s">
        <v>133</v>
      </c>
      <c r="L4" s="83">
        <f>$F$31</f>
        <v>58.02131661442008</v>
      </c>
      <c r="M4" s="81" t="s">
        <v>134</v>
      </c>
      <c r="N4" s="82" t="s">
        <v>137</v>
      </c>
      <c r="O4" s="84" t="s">
        <v>138</v>
      </c>
    </row>
    <row r="5" spans="1:15" x14ac:dyDescent="0.25">
      <c r="A5" s="16">
        <f>'R0025_Gen1_Liberation'!A2</f>
        <v>11.2</v>
      </c>
      <c r="B5" s="16">
        <f>'R0025_Gen1_Liberation'!C2</f>
        <v>2.607588469613392</v>
      </c>
      <c r="D5" s="16"/>
      <c r="I5" s="85"/>
      <c r="J5" s="16" t="s">
        <v>46</v>
      </c>
      <c r="K5" t="s">
        <v>133</v>
      </c>
      <c r="L5" s="26">
        <f>$F$32</f>
        <v>33.647648902821324</v>
      </c>
      <c r="M5" s="16" t="s">
        <v>134</v>
      </c>
      <c r="N5" t="s">
        <v>137</v>
      </c>
      <c r="O5" s="86" t="s">
        <v>139</v>
      </c>
    </row>
    <row r="6" spans="1:15" x14ac:dyDescent="0.25">
      <c r="A6" s="16">
        <f>'R0025_Gen1_Liberation'!A3</f>
        <v>8</v>
      </c>
      <c r="B6" s="16">
        <f>'R0025_Gen1_Liberation'!C3</f>
        <v>7.6904501512744572</v>
      </c>
      <c r="D6" s="16"/>
      <c r="I6" s="85"/>
      <c r="J6" s="16" t="s">
        <v>47</v>
      </c>
      <c r="K6" t="s">
        <v>133</v>
      </c>
      <c r="L6" s="26">
        <f>$F$33</f>
        <v>5.5648902821316621</v>
      </c>
      <c r="M6" s="16" t="s">
        <v>134</v>
      </c>
      <c r="N6" t="s">
        <v>137</v>
      </c>
      <c r="O6" s="87" t="s">
        <v>140</v>
      </c>
    </row>
    <row r="7" spans="1:15" x14ac:dyDescent="0.25">
      <c r="A7" s="16">
        <f>'R0025_Gen1_Liberation'!A4</f>
        <v>5.6</v>
      </c>
      <c r="B7" s="16">
        <f>'R0025_Gen1_Liberation'!C4</f>
        <v>23.966424255003233</v>
      </c>
      <c r="D7" s="16"/>
      <c r="I7" s="85"/>
      <c r="J7" s="16" t="s">
        <v>48</v>
      </c>
      <c r="K7" t="s">
        <v>133</v>
      </c>
      <c r="L7" s="26">
        <f>$F$34</f>
        <v>2.7661442006269596</v>
      </c>
      <c r="M7" s="16" t="s">
        <v>134</v>
      </c>
      <c r="N7" t="s">
        <v>137</v>
      </c>
      <c r="O7" s="88" t="s">
        <v>141</v>
      </c>
    </row>
    <row r="8" spans="1:15" x14ac:dyDescent="0.25">
      <c r="A8" s="16">
        <f>'R0025_Gen1_Liberation'!A5</f>
        <v>4</v>
      </c>
      <c r="B8" s="16">
        <f>'R0025_Gen1_Liberation'!C5</f>
        <v>22.575417701107213</v>
      </c>
      <c r="D8" s="16"/>
      <c r="I8" s="85"/>
      <c r="J8" s="16" t="s">
        <v>49</v>
      </c>
      <c r="K8" t="s">
        <v>133</v>
      </c>
      <c r="L8" s="26">
        <f>$F$35</f>
        <v>19.152351097178684</v>
      </c>
      <c r="M8" s="16" t="s">
        <v>134</v>
      </c>
      <c r="N8" t="s">
        <v>137</v>
      </c>
      <c r="O8" s="89" t="s">
        <v>142</v>
      </c>
    </row>
    <row r="9" spans="1:15" x14ac:dyDescent="0.25">
      <c r="A9" s="16">
        <f>'R0025_Gen1_Liberation'!A6</f>
        <v>2.8</v>
      </c>
      <c r="B9" s="16">
        <f>'R0025_Gen1_Liberation'!C6</f>
        <v>13.477995353998196</v>
      </c>
      <c r="D9" s="16"/>
      <c r="I9" s="85"/>
      <c r="L9" s="26"/>
      <c r="M9" s="16"/>
      <c r="O9" s="90"/>
    </row>
    <row r="10" spans="1:15" x14ac:dyDescent="0.25">
      <c r="A10" s="16">
        <f>'R0025_Gen1_Liberation'!A7</f>
        <v>2</v>
      </c>
      <c r="B10" s="16">
        <f>'R0025_Gen1_Liberation'!C7</f>
        <v>7.5268023214043387</v>
      </c>
      <c r="D10" s="16"/>
      <c r="H10" t="s">
        <v>143</v>
      </c>
      <c r="I10" s="85"/>
      <c r="J10" t="s">
        <v>137</v>
      </c>
      <c r="K10" t="s">
        <v>133</v>
      </c>
      <c r="L10" s="26">
        <f>$F$37</f>
        <v>119.15235109717869</v>
      </c>
      <c r="M10" s="16" t="s">
        <v>134</v>
      </c>
      <c r="N10" t="s">
        <v>144</v>
      </c>
      <c r="O10" s="90"/>
    </row>
    <row r="11" spans="1:15" x14ac:dyDescent="0.25">
      <c r="A11" s="16">
        <f>'R0025_Gen1_Liberation'!A8</f>
        <v>1</v>
      </c>
      <c r="B11" s="16">
        <f>'R0025_Gen1_Liberation'!C8</f>
        <v>7.4349998802576849</v>
      </c>
      <c r="D11" s="16"/>
      <c r="I11" s="85"/>
      <c r="L11" s="26"/>
      <c r="M11" s="16"/>
      <c r="O11" s="90"/>
    </row>
    <row r="12" spans="1:15" x14ac:dyDescent="0.25">
      <c r="A12" s="16">
        <f>'R0025_Gen1_Liberation'!A9</f>
        <v>0.124</v>
      </c>
      <c r="B12" s="16">
        <f>'R0025_Gen1_Liberation'!C9</f>
        <v>11.74572320366571</v>
      </c>
      <c r="D12" s="16"/>
      <c r="H12" t="s">
        <v>145</v>
      </c>
      <c r="I12" s="85"/>
      <c r="J12" t="s">
        <v>144</v>
      </c>
      <c r="K12" t="s">
        <v>133</v>
      </c>
      <c r="L12" s="26">
        <f>$E$37</f>
        <v>100.00000000000001</v>
      </c>
      <c r="M12" s="16" t="s">
        <v>134</v>
      </c>
      <c r="N12" t="s">
        <v>146</v>
      </c>
      <c r="O12" s="90"/>
    </row>
    <row r="13" spans="1:15" x14ac:dyDescent="0.25">
      <c r="A13" s="16">
        <f>'R0025_Gen1_Liberation'!A10</f>
        <v>0.04</v>
      </c>
      <c r="B13" s="16">
        <f>'R0025_Gen1_Liberation'!C10</f>
        <v>1.9617782531991153</v>
      </c>
      <c r="D13" s="16"/>
      <c r="I13" s="85"/>
      <c r="J13" t="s">
        <v>144</v>
      </c>
      <c r="K13" t="s">
        <v>133</v>
      </c>
      <c r="L13" s="26">
        <f>$F$35</f>
        <v>19.152351097178684</v>
      </c>
      <c r="M13" s="16" t="s">
        <v>134</v>
      </c>
      <c r="N13" t="s">
        <v>147</v>
      </c>
      <c r="O13" s="90"/>
    </row>
    <row r="14" spans="1:15" x14ac:dyDescent="0.25">
      <c r="A14" s="16">
        <f>'R0025_Gen1_Liberation'!A11</f>
        <v>0</v>
      </c>
      <c r="B14" s="16">
        <f>'R0025_Gen1_Liberation'!C11</f>
        <v>1.0128204104766543</v>
      </c>
      <c r="D14" s="16"/>
      <c r="I14" s="85"/>
      <c r="L14" s="26"/>
      <c r="M14" s="16"/>
      <c r="O14" s="90"/>
    </row>
    <row r="15" spans="1:15" x14ac:dyDescent="0.25">
      <c r="B15" s="16">
        <f>SUM(B5:B14)</f>
        <v>99.999999999999986</v>
      </c>
      <c r="C15" s="16"/>
      <c r="H15" t="s">
        <v>148</v>
      </c>
      <c r="I15" s="85"/>
      <c r="J15" t="s">
        <v>146</v>
      </c>
      <c r="K15" t="s">
        <v>133</v>
      </c>
      <c r="L15" s="26">
        <f>SUM(B6:B11)</f>
        <v>82.672089663045114</v>
      </c>
      <c r="M15" s="16" t="s">
        <v>134</v>
      </c>
      <c r="N15" t="s">
        <v>149</v>
      </c>
      <c r="O15" s="90"/>
    </row>
    <row r="16" spans="1:15" x14ac:dyDescent="0.25">
      <c r="C16" s="16" t="s">
        <v>37</v>
      </c>
      <c r="D16" t="s">
        <v>27</v>
      </c>
      <c r="I16" s="85"/>
      <c r="J16" t="s">
        <v>146</v>
      </c>
      <c r="K16" t="s">
        <v>133</v>
      </c>
      <c r="L16" s="26">
        <f>SUM(B12:B14)</f>
        <v>14.720321867341481</v>
      </c>
      <c r="M16" s="16" t="s">
        <v>134</v>
      </c>
      <c r="N16" t="s">
        <v>150</v>
      </c>
      <c r="O16" s="90"/>
    </row>
    <row r="17" spans="1:15" x14ac:dyDescent="0.25">
      <c r="A17" s="16">
        <f>A6</f>
        <v>8</v>
      </c>
      <c r="B17" t="s">
        <v>77</v>
      </c>
      <c r="C17" s="16">
        <f>'R0025_Gen1_Total'!L4</f>
        <v>0.18406202363463303</v>
      </c>
      <c r="D17" s="16">
        <f>'R0025_Gen1_Total'!M4</f>
        <v>9.8230717461934333E-2</v>
      </c>
      <c r="I17" s="85"/>
      <c r="J17" t="s">
        <v>146</v>
      </c>
      <c r="K17" t="s">
        <v>133</v>
      </c>
      <c r="L17" s="26">
        <f>SUM(B5)</f>
        <v>2.607588469613392</v>
      </c>
      <c r="M17" s="16" t="s">
        <v>134</v>
      </c>
      <c r="N17" t="s">
        <v>151</v>
      </c>
      <c r="O17" s="90"/>
    </row>
    <row r="18" spans="1:15" x14ac:dyDescent="0.25">
      <c r="A18" s="16">
        <f>A6</f>
        <v>8</v>
      </c>
      <c r="B18" t="s">
        <v>152</v>
      </c>
      <c r="C18" s="16">
        <f>'R0025_Gen1_Total'!L10</f>
        <v>7.5063881276398234</v>
      </c>
      <c r="D18" s="16">
        <f>'R0025_Gen1_Total'!M10</f>
        <v>9.8230717461934902E-2</v>
      </c>
      <c r="I18" s="85"/>
      <c r="L18" s="26"/>
      <c r="O18" s="90"/>
    </row>
    <row r="19" spans="1:15" x14ac:dyDescent="0.25">
      <c r="C19" s="16"/>
      <c r="H19" t="s">
        <v>154</v>
      </c>
      <c r="I19" s="85"/>
      <c r="J19" s="16" t="s">
        <v>149</v>
      </c>
      <c r="K19" t="s">
        <v>133</v>
      </c>
      <c r="L19" s="26">
        <f>'R0025_Gen1_Exc_Electrolyte'!$O$10</f>
        <v>79.871907080695905</v>
      </c>
      <c r="M19" s="16" t="s">
        <v>134</v>
      </c>
      <c r="N19" t="s">
        <v>152</v>
      </c>
      <c r="O19" s="90"/>
    </row>
    <row r="20" spans="1:15" x14ac:dyDescent="0.25">
      <c r="A20" s="16" t="s">
        <v>77</v>
      </c>
      <c r="B20" t="s">
        <v>45</v>
      </c>
      <c r="C20" s="16">
        <f>'R0025_Gen1_Total'!L5</f>
        <v>0</v>
      </c>
      <c r="I20" s="85"/>
      <c r="J20" s="16" t="s">
        <v>149</v>
      </c>
      <c r="K20" t="s">
        <v>133</v>
      </c>
      <c r="L20" s="26">
        <f>'R0025_Gen1_Exc_Electrolyte'!$O$4</f>
        <v>2.8001825823492172</v>
      </c>
      <c r="M20" s="16" t="s">
        <v>134</v>
      </c>
      <c r="N20" t="s">
        <v>77</v>
      </c>
      <c r="O20" s="90"/>
    </row>
    <row r="21" spans="1:15" x14ac:dyDescent="0.25">
      <c r="A21" s="16"/>
      <c r="B21" t="s">
        <v>46</v>
      </c>
      <c r="C21" s="16">
        <f>'R0025_Gen1_Total'!L6</f>
        <v>4.1256554406033617E-3</v>
      </c>
      <c r="I21" s="85"/>
      <c r="L21" s="26"/>
      <c r="M21" s="16"/>
      <c r="O21" s="90"/>
    </row>
    <row r="22" spans="1:15" x14ac:dyDescent="0.25">
      <c r="B22" t="s">
        <v>155</v>
      </c>
      <c r="C22" s="16">
        <f>'R0025_Gen1_Total'!L7</f>
        <v>6.4993958905171761E-2</v>
      </c>
      <c r="H22" t="s">
        <v>156</v>
      </c>
      <c r="I22" s="85"/>
      <c r="J22" t="s">
        <v>152</v>
      </c>
      <c r="K22" t="s">
        <v>133</v>
      </c>
      <c r="L22" s="26">
        <f>'R0025_Gen1_Exc_Electrolyte'!$O$11</f>
        <v>45.996680952305525</v>
      </c>
      <c r="M22" t="s">
        <v>134</v>
      </c>
      <c r="N22" s="16" t="s">
        <v>17</v>
      </c>
      <c r="O22" s="90"/>
    </row>
    <row r="23" spans="1:15" x14ac:dyDescent="0.25">
      <c r="B23" t="s">
        <v>47</v>
      </c>
      <c r="C23" s="16">
        <f>'R0025_Gen1_Total'!L8</f>
        <v>7.5547052880042846E-3</v>
      </c>
      <c r="I23" s="85"/>
      <c r="J23" t="s">
        <v>152</v>
      </c>
      <c r="K23" t="s">
        <v>133</v>
      </c>
      <c r="L23" s="26">
        <f>'R0025_Gen1_Exc_Electrolyte'!$O$17</f>
        <v>33.875226128390374</v>
      </c>
      <c r="M23" t="s">
        <v>134</v>
      </c>
      <c r="N23" s="16" t="s">
        <v>157</v>
      </c>
      <c r="O23" s="90"/>
    </row>
    <row r="24" spans="1:15" x14ac:dyDescent="0.25">
      <c r="B24" t="s">
        <v>48</v>
      </c>
      <c r="C24" s="16">
        <f>'R0025_Gen1_Total'!L9</f>
        <v>0.10738770400085364</v>
      </c>
      <c r="I24" s="85"/>
      <c r="L24" s="26"/>
      <c r="O24" s="90"/>
    </row>
    <row r="25" spans="1:15" x14ac:dyDescent="0.25">
      <c r="A25" t="s">
        <v>152</v>
      </c>
      <c r="B25" t="s">
        <v>17</v>
      </c>
      <c r="C25" s="16">
        <f>'R0025_Gen1_Total'!L11</f>
        <v>2.3722052673720544</v>
      </c>
      <c r="H25" t="s">
        <v>159</v>
      </c>
      <c r="I25" s="85"/>
      <c r="J25" t="s">
        <v>17</v>
      </c>
      <c r="K25" t="s">
        <v>133</v>
      </c>
      <c r="L25" s="26">
        <f>'R0025_Gen1_Exc_Electrolyte'!$O$12</f>
        <v>37.156389709484316</v>
      </c>
      <c r="M25" t="s">
        <v>134</v>
      </c>
      <c r="N25" s="16" t="s">
        <v>160</v>
      </c>
      <c r="O25" s="90"/>
    </row>
    <row r="26" spans="1:15" x14ac:dyDescent="0.25">
      <c r="A26" t="s">
        <v>152</v>
      </c>
      <c r="B26" t="s">
        <v>18</v>
      </c>
      <c r="C26" s="16">
        <f>'R0025_Gen1_Total'!L17</f>
        <v>5.134182860267769</v>
      </c>
      <c r="I26" s="85"/>
      <c r="J26" t="s">
        <v>17</v>
      </c>
      <c r="K26" t="s">
        <v>133</v>
      </c>
      <c r="L26" s="26">
        <f>'R0025_Gen1_Exc_Electrolyte'!$O$13</f>
        <v>0.78001721481680086</v>
      </c>
      <c r="M26" t="s">
        <v>134</v>
      </c>
      <c r="N26" s="16" t="s">
        <v>161</v>
      </c>
      <c r="O26" s="90"/>
    </row>
    <row r="27" spans="1:15" x14ac:dyDescent="0.25">
      <c r="I27" s="85"/>
      <c r="J27" t="s">
        <v>17</v>
      </c>
      <c r="K27" t="s">
        <v>133</v>
      </c>
      <c r="L27" s="26">
        <f>'R0025_Gen1_Exc_Electrolyte'!$O$14</f>
        <v>7.5889790254849903</v>
      </c>
      <c r="M27" t="s">
        <v>134</v>
      </c>
      <c r="N27" s="16" t="s">
        <v>163</v>
      </c>
      <c r="O27" s="90"/>
    </row>
    <row r="28" spans="1:15" x14ac:dyDescent="0.25">
      <c r="I28" s="85"/>
      <c r="J28" t="s">
        <v>17</v>
      </c>
      <c r="K28" t="s">
        <v>133</v>
      </c>
      <c r="L28" s="26">
        <f>'R0025_Gen1_Exc_Electrolyte'!$O$15</f>
        <v>0.44329884054968138</v>
      </c>
      <c r="M28" t="s">
        <v>134</v>
      </c>
      <c r="N28" s="16" t="s">
        <v>164</v>
      </c>
      <c r="O28" s="90"/>
    </row>
    <row r="29" spans="1:15" x14ac:dyDescent="0.25">
      <c r="I29" s="85"/>
      <c r="J29" t="s">
        <v>17</v>
      </c>
      <c r="K29" t="s">
        <v>133</v>
      </c>
      <c r="L29" s="26">
        <f>'R0025_Gen1_Exc_Electrolyte'!$O$16</f>
        <v>2.7501327033615672E-2</v>
      </c>
      <c r="M29" t="s">
        <v>134</v>
      </c>
      <c r="N29" s="16" t="s">
        <v>165</v>
      </c>
      <c r="O29" s="90"/>
    </row>
    <row r="30" spans="1:15" x14ac:dyDescent="0.25">
      <c r="B30" t="s">
        <v>166</v>
      </c>
      <c r="D30" t="s">
        <v>167</v>
      </c>
      <c r="E30" t="s">
        <v>168</v>
      </c>
      <c r="F30" t="s">
        <v>169</v>
      </c>
      <c r="I30" s="85"/>
      <c r="L30" s="26"/>
      <c r="O30" s="90"/>
    </row>
    <row r="31" spans="1:15" x14ac:dyDescent="0.25">
      <c r="A31" s="16" t="s">
        <v>45</v>
      </c>
      <c r="B31" s="26">
        <f>'R0025_Gen1_Total'!C26</f>
        <v>48.695066509513396</v>
      </c>
      <c r="D31" s="26">
        <f>B31/100</f>
        <v>0.48695066509513396</v>
      </c>
      <c r="E31">
        <f>100*B31/SUM($B$31:$B$34)</f>
        <v>58.02131661442008</v>
      </c>
      <c r="F31">
        <f>100*B31/SUM($B$31:$B$34)</f>
        <v>58.02131661442008</v>
      </c>
      <c r="I31" s="85"/>
      <c r="J31" s="16" t="s">
        <v>157</v>
      </c>
      <c r="K31" t="s">
        <v>133</v>
      </c>
      <c r="L31" s="26">
        <f>'R0025_Gen1_Exc_Electrolyte'!$O$18</f>
        <v>0.22983124201693339</v>
      </c>
      <c r="M31" t="s">
        <v>134</v>
      </c>
      <c r="N31" s="16" t="s">
        <v>171</v>
      </c>
      <c r="O31" s="90"/>
    </row>
    <row r="32" spans="1:15" x14ac:dyDescent="0.25">
      <c r="A32" s="16" t="s">
        <v>46</v>
      </c>
      <c r="B32" s="26">
        <f>'R0025_Gen1_Total'!C27</f>
        <v>28.23918168041758</v>
      </c>
      <c r="D32" s="26">
        <f>B32/100</f>
        <v>0.2823918168041758</v>
      </c>
      <c r="E32">
        <f>100*B32/SUM($B$31:$B$34)</f>
        <v>33.647648902821324</v>
      </c>
      <c r="F32">
        <f>100*B32/SUM($B$31:$B$34)</f>
        <v>33.647648902821324</v>
      </c>
      <c r="I32" s="85"/>
      <c r="J32" s="16" t="s">
        <v>157</v>
      </c>
      <c r="K32" t="s">
        <v>133</v>
      </c>
      <c r="L32" s="26">
        <f>'R0025_Gen1_Exc_Electrolyte'!$O$19</f>
        <v>21.809643557400719</v>
      </c>
      <c r="M32" t="s">
        <v>134</v>
      </c>
      <c r="N32" s="16" t="s">
        <v>172</v>
      </c>
      <c r="O32" s="90"/>
    </row>
    <row r="33" spans="1:15" x14ac:dyDescent="0.25">
      <c r="A33" s="16" t="s">
        <v>47</v>
      </c>
      <c r="B33" s="26">
        <f>'R0025_Gen1_Total'!C28</f>
        <v>4.6703990570803171</v>
      </c>
      <c r="D33" s="26">
        <f>B33/100</f>
        <v>4.6703990570803169E-2</v>
      </c>
      <c r="E33">
        <f>100*B33/SUM($B$31:$B$34)</f>
        <v>5.5648902821316621</v>
      </c>
      <c r="F33">
        <f>100*B33/SUM($B$31:$B$34)</f>
        <v>5.5648902821316621</v>
      </c>
      <c r="I33" s="85"/>
      <c r="J33" s="16" t="s">
        <v>157</v>
      </c>
      <c r="K33" t="s">
        <v>133</v>
      </c>
      <c r="L33" s="26">
        <f>'R0025_Gen1_Exc_Electrolyte'!$O$20</f>
        <v>7.9591428191592613</v>
      </c>
      <c r="M33" t="s">
        <v>134</v>
      </c>
      <c r="N33" s="16" t="s">
        <v>174</v>
      </c>
      <c r="O33" s="90"/>
    </row>
    <row r="34" spans="1:15" x14ac:dyDescent="0.25">
      <c r="A34" s="16" t="s">
        <v>48</v>
      </c>
      <c r="B34" s="26">
        <f>'R0025_Gen1_Total'!C29</f>
        <v>2.3215187742044119</v>
      </c>
      <c r="D34" s="26">
        <f>B34/100</f>
        <v>2.3215187742044119E-2</v>
      </c>
      <c r="E34">
        <f>100*B34/SUM($B$31:$B$34)</f>
        <v>2.7661442006269596</v>
      </c>
      <c r="F34">
        <f>100*B34/SUM($B$31:$B$34)</f>
        <v>2.7661442006269596</v>
      </c>
      <c r="I34" s="85"/>
      <c r="J34" s="16" t="s">
        <v>157</v>
      </c>
      <c r="K34" t="s">
        <v>133</v>
      </c>
      <c r="L34" s="26">
        <f>'R0025_Gen1_Exc_Electrolyte'!$O$21</f>
        <v>3.6877851412508282</v>
      </c>
      <c r="M34" t="s">
        <v>134</v>
      </c>
      <c r="N34" s="16" t="s">
        <v>175</v>
      </c>
      <c r="O34" s="90"/>
    </row>
    <row r="35" spans="1:15" x14ac:dyDescent="0.25">
      <c r="A35" s="16" t="s">
        <v>49</v>
      </c>
      <c r="B35" s="26">
        <f>'R0025_Gen1_Total'!C30</f>
        <v>16.073833978784307</v>
      </c>
      <c r="F35">
        <f>100*B35/SUM($B$31:$B$34)</f>
        <v>19.152351097178684</v>
      </c>
      <c r="I35" s="85"/>
      <c r="J35" s="16" t="s">
        <v>157</v>
      </c>
      <c r="K35" t="s">
        <v>133</v>
      </c>
      <c r="L35" s="26">
        <f>'R0025_Gen1_Exc_Electrolyte'!$O$22</f>
        <v>0.18882336856263277</v>
      </c>
      <c r="M35" t="s">
        <v>134</v>
      </c>
      <c r="N35" s="16" t="s">
        <v>176</v>
      </c>
      <c r="O35" s="90"/>
    </row>
    <row r="36" spans="1:15" x14ac:dyDescent="0.25">
      <c r="I36" s="85"/>
      <c r="L36" s="26"/>
      <c r="M36" s="16"/>
      <c r="O36" s="90"/>
    </row>
    <row r="37" spans="1:15" x14ac:dyDescent="0.25">
      <c r="A37" s="16" t="s">
        <v>35</v>
      </c>
      <c r="B37" s="26">
        <f>SUM(B31:B35)</f>
        <v>100</v>
      </c>
      <c r="D37" s="26">
        <f>SUM(D31:D35)</f>
        <v>0.83926166021215709</v>
      </c>
      <c r="E37" s="26">
        <f>SUM(E31:E35)</f>
        <v>100.00000000000001</v>
      </c>
      <c r="F37" s="26">
        <f>SUM(F31:F35)</f>
        <v>119.15235109717869</v>
      </c>
      <c r="I37" s="85"/>
      <c r="J37" s="16" t="s">
        <v>77</v>
      </c>
      <c r="K37" t="s">
        <v>133</v>
      </c>
      <c r="L37" s="26">
        <f>'R0025_Gen1_Exc_Electrolyte'!$O$5</f>
        <v>0.13539976676986273</v>
      </c>
      <c r="M37" t="s">
        <v>134</v>
      </c>
      <c r="N37" s="16" t="s">
        <v>178</v>
      </c>
      <c r="O37" s="90"/>
    </row>
    <row r="38" spans="1:15" x14ac:dyDescent="0.25">
      <c r="I38" s="85"/>
      <c r="J38" s="16" t="s">
        <v>77</v>
      </c>
      <c r="K38" t="s">
        <v>133</v>
      </c>
      <c r="L38" s="26">
        <f>'R0025_Gen1_Exc_Electrolyte'!$O$6</f>
        <v>0.17406685579967418</v>
      </c>
      <c r="M38" t="s">
        <v>134</v>
      </c>
      <c r="N38" s="16" t="s">
        <v>179</v>
      </c>
      <c r="O38" s="90"/>
    </row>
    <row r="39" spans="1:15" x14ac:dyDescent="0.25">
      <c r="I39" s="85"/>
      <c r="J39" s="16" t="s">
        <v>77</v>
      </c>
      <c r="K39" t="s">
        <v>133</v>
      </c>
      <c r="L39" s="26">
        <f>'R0025_Gen1_Exc_Electrolyte'!$O$7</f>
        <v>0.18802521414937828</v>
      </c>
      <c r="M39" t="s">
        <v>134</v>
      </c>
      <c r="N39" s="16" t="s">
        <v>180</v>
      </c>
      <c r="O39" s="90"/>
    </row>
    <row r="40" spans="1:15" x14ac:dyDescent="0.25">
      <c r="B40" t="s">
        <v>182</v>
      </c>
      <c r="C40" t="s">
        <v>63</v>
      </c>
      <c r="D40" t="s">
        <v>183</v>
      </c>
      <c r="E40" t="s">
        <v>184</v>
      </c>
      <c r="F40" t="s">
        <v>63</v>
      </c>
      <c r="G40" t="s">
        <v>41</v>
      </c>
      <c r="I40" s="85"/>
      <c r="J40" s="16" t="s">
        <v>77</v>
      </c>
      <c r="K40" t="s">
        <v>133</v>
      </c>
      <c r="L40" s="26">
        <f>'R0025_Gen1_Exc_Electrolyte'!$O$8</f>
        <v>0.16223448159225828</v>
      </c>
      <c r="M40" t="s">
        <v>134</v>
      </c>
      <c r="N40" s="16" t="s">
        <v>185</v>
      </c>
      <c r="O40" s="90"/>
    </row>
    <row r="41" spans="1:15" x14ac:dyDescent="0.25">
      <c r="A41" t="s">
        <v>45</v>
      </c>
      <c r="B41">
        <f>'R0025_Gen1_Total'!K26</f>
        <v>20.499695896148957</v>
      </c>
      <c r="C41">
        <f>'R0025_Gen1_Total'!L26</f>
        <v>1.0636831393524142</v>
      </c>
      <c r="D41">
        <f>100*B41/SUM($B$41:$B$44)</f>
        <v>61.999012577357036</v>
      </c>
      <c r="E41">
        <f>D41/100</f>
        <v>0.61999012577357038</v>
      </c>
      <c r="F41">
        <f>C41/SUM($B$41:$B$44)</f>
        <v>3.2169893967754763E-2</v>
      </c>
      <c r="G41">
        <f>100*F41/E41</f>
        <v>5.1887752127690643</v>
      </c>
      <c r="H41" t="s">
        <v>8</v>
      </c>
      <c r="I41" s="85"/>
      <c r="J41" s="16" t="s">
        <v>77</v>
      </c>
      <c r="K41" t="s">
        <v>133</v>
      </c>
      <c r="L41" s="26">
        <f>'R0025_Gen1_Exc_Electrolyte'!$O$9</f>
        <v>2.1404562640380442</v>
      </c>
      <c r="M41" t="s">
        <v>134</v>
      </c>
      <c r="N41" s="16" t="s">
        <v>187</v>
      </c>
      <c r="O41" s="90"/>
    </row>
    <row r="42" spans="1:15" x14ac:dyDescent="0.25">
      <c r="A42" t="s">
        <v>46</v>
      </c>
      <c r="B42">
        <f>'R0025_Gen1_Total'!K27</f>
        <v>10.883921274804123</v>
      </c>
      <c r="C42">
        <f>'R0025_Gen1_Total'!L27</f>
        <v>0.97687716717221584</v>
      </c>
      <c r="D42">
        <f>100*B42/SUM($B$41:$B$44)</f>
        <v>32.917189378126835</v>
      </c>
      <c r="E42">
        <f>D42/100</f>
        <v>0.32917189378126838</v>
      </c>
      <c r="F42">
        <f>C42/SUM($B$41:$B$44)</f>
        <v>2.9544545480511667E-2</v>
      </c>
      <c r="G42">
        <f>100*F42/E42</f>
        <v>8.9754155924818235</v>
      </c>
      <c r="H42" t="s">
        <v>6</v>
      </c>
      <c r="I42" s="85"/>
      <c r="L42" s="26"/>
      <c r="M42" s="16"/>
      <c r="O42" s="90"/>
    </row>
    <row r="43" spans="1:15" x14ac:dyDescent="0.25">
      <c r="A43" t="s">
        <v>47</v>
      </c>
      <c r="B43">
        <f>'R0025_Gen1_Total'!K28</f>
        <v>1.2715718187388942</v>
      </c>
      <c r="C43">
        <f>'R0025_Gen1_Total'!L28</f>
        <v>0.61055665657933733</v>
      </c>
      <c r="D43">
        <f>100*B43/SUM($B$41:$B$44)</f>
        <v>3.8457252040414671</v>
      </c>
      <c r="E43">
        <f>D43/100</f>
        <v>3.8457252040414669E-2</v>
      </c>
      <c r="F43">
        <f>C43/SUM($B$41:$B$44)</f>
        <v>1.8465595793332026E-2</v>
      </c>
      <c r="G43">
        <f>100*F43/E43</f>
        <v>48.015900288264376</v>
      </c>
      <c r="H43" t="s">
        <v>15</v>
      </c>
      <c r="I43" s="85"/>
      <c r="J43" s="16" t="str">
        <f>N25</f>
        <v>Cathode-m</v>
      </c>
      <c r="K43" t="s">
        <v>133</v>
      </c>
      <c r="L43" s="26">
        <f>$L$25</f>
        <v>37.156389709484316</v>
      </c>
      <c r="M43" s="16" t="s">
        <v>134</v>
      </c>
      <c r="N43" s="16" t="s">
        <v>188</v>
      </c>
      <c r="O43" s="90"/>
    </row>
    <row r="44" spans="1:15" x14ac:dyDescent="0.25">
      <c r="A44" t="s">
        <v>48</v>
      </c>
      <c r="B44">
        <f>'R0025_Gen1_Total'!K29</f>
        <v>0.40936324099266708</v>
      </c>
      <c r="C44">
        <f>'R0025_Gen1_Total'!L29</f>
        <v>0.79537561970492365</v>
      </c>
      <c r="D44">
        <f>100*B44/SUM($B$41:$B$44)</f>
        <v>1.2380728404746666</v>
      </c>
      <c r="E44">
        <f>D44/100</f>
        <v>1.2380728404746666E-2</v>
      </c>
      <c r="F44">
        <f>C44/SUM($B$41:$B$44)</f>
        <v>2.4055236379907707E-2</v>
      </c>
      <c r="G44">
        <f>100*F44/E44</f>
        <v>194.29580872386421</v>
      </c>
      <c r="H44" t="s">
        <v>16</v>
      </c>
      <c r="I44" s="85"/>
      <c r="J44" s="16" t="str">
        <f>N27</f>
        <v>Unliberated-m</v>
      </c>
      <c r="K44" t="s">
        <v>133</v>
      </c>
      <c r="L44" s="26">
        <f>$L$27*$D$41/100</f>
        <v>4.7050920605034268</v>
      </c>
      <c r="M44" s="16" t="s">
        <v>134</v>
      </c>
      <c r="N44" s="16" t="s">
        <v>188</v>
      </c>
      <c r="O44" s="90"/>
    </row>
    <row r="45" spans="1:15" x14ac:dyDescent="0.25">
      <c r="I45" s="85"/>
      <c r="J45" s="16" t="str">
        <f>N31</f>
        <v>Cathode-n</v>
      </c>
      <c r="K45" t="s">
        <v>133</v>
      </c>
      <c r="L45" s="26">
        <f>$L$31</f>
        <v>0.22983124201693339</v>
      </c>
      <c r="M45" s="16" t="s">
        <v>134</v>
      </c>
      <c r="N45" s="16" t="s">
        <v>188</v>
      </c>
      <c r="O45" s="90"/>
    </row>
    <row r="46" spans="1:15" x14ac:dyDescent="0.25">
      <c r="I46" s="85"/>
      <c r="J46" s="16" t="str">
        <f>N33</f>
        <v>Unliberated-n</v>
      </c>
      <c r="K46" t="s">
        <v>133</v>
      </c>
      <c r="L46" s="26">
        <f>$L$33*$D$41/100</f>
        <v>4.9345899575003598</v>
      </c>
      <c r="M46" s="16" t="s">
        <v>134</v>
      </c>
      <c r="N46" s="16" t="s">
        <v>188</v>
      </c>
      <c r="O46" s="90"/>
    </row>
    <row r="47" spans="1:15" x14ac:dyDescent="0.25">
      <c r="I47" s="85"/>
      <c r="J47" s="16" t="str">
        <f>N37</f>
        <v>Cathode-i</v>
      </c>
      <c r="K47" t="s">
        <v>133</v>
      </c>
      <c r="L47" s="26">
        <f>$L$37</f>
        <v>0.13539976676986273</v>
      </c>
      <c r="M47" s="16" t="s">
        <v>134</v>
      </c>
      <c r="N47" s="16" t="s">
        <v>188</v>
      </c>
      <c r="O47" s="90"/>
    </row>
    <row r="48" spans="1:15" x14ac:dyDescent="0.25">
      <c r="I48" s="85"/>
      <c r="J48" s="16" t="str">
        <f>N39</f>
        <v>Unliberated-i</v>
      </c>
      <c r="K48" t="s">
        <v>133</v>
      </c>
      <c r="L48" s="26">
        <f>$L$39*$D$41/100</f>
        <v>0.11657377616907555</v>
      </c>
      <c r="M48" s="16" t="s">
        <v>134</v>
      </c>
      <c r="N48" s="16" t="s">
        <v>188</v>
      </c>
      <c r="O48" s="90"/>
    </row>
    <row r="49" spans="2:15" x14ac:dyDescent="0.25">
      <c r="I49" s="85"/>
      <c r="J49" t="s">
        <v>150</v>
      </c>
      <c r="K49" t="s">
        <v>133</v>
      </c>
      <c r="L49" s="26">
        <f>$L$16*$D$41/100</f>
        <v>9.1264542059604814</v>
      </c>
      <c r="M49" s="16" t="s">
        <v>134</v>
      </c>
      <c r="N49" s="16" t="s">
        <v>188</v>
      </c>
      <c r="O49" s="90"/>
    </row>
    <row r="50" spans="2:15" x14ac:dyDescent="0.25">
      <c r="I50" s="85"/>
      <c r="J50" t="s">
        <v>151</v>
      </c>
      <c r="K50" t="s">
        <v>133</v>
      </c>
      <c r="L50" s="26">
        <f>$L$17*$D$41/100</f>
        <v>1.6166791032413186</v>
      </c>
      <c r="M50" s="16" t="s">
        <v>134</v>
      </c>
      <c r="N50" s="16" t="s">
        <v>188</v>
      </c>
      <c r="O50" s="90"/>
    </row>
    <row r="51" spans="2:15" x14ac:dyDescent="0.25">
      <c r="B51" s="16"/>
      <c r="F51" s="16"/>
      <c r="G51" s="16"/>
      <c r="I51" s="85"/>
      <c r="L51" s="26"/>
      <c r="O51" s="90"/>
    </row>
    <row r="52" spans="2:15" x14ac:dyDescent="0.25">
      <c r="E52" s="74" t="s">
        <v>189</v>
      </c>
      <c r="I52" s="85"/>
      <c r="J52" s="16" t="str">
        <f>N26</f>
        <v>Anode-m</v>
      </c>
      <c r="K52" t="s">
        <v>133</v>
      </c>
      <c r="L52" s="26">
        <f>$L$26</f>
        <v>0.78001721481680086</v>
      </c>
      <c r="M52" s="16" t="s">
        <v>134</v>
      </c>
      <c r="N52" s="16" t="s">
        <v>190</v>
      </c>
      <c r="O52" s="90"/>
    </row>
    <row r="53" spans="2:15" x14ac:dyDescent="0.25">
      <c r="B53" s="16"/>
      <c r="D53" t="s">
        <v>45</v>
      </c>
      <c r="E53" s="29" t="s">
        <v>138</v>
      </c>
      <c r="I53" s="85"/>
      <c r="J53" s="16" t="str">
        <f>N27</f>
        <v>Unliberated-m</v>
      </c>
      <c r="K53" t="s">
        <v>133</v>
      </c>
      <c r="L53" s="26">
        <f>$L$27*$D$42/100</f>
        <v>2.4980785976852187</v>
      </c>
      <c r="M53" s="16" t="s">
        <v>134</v>
      </c>
      <c r="N53" s="16" t="s">
        <v>190</v>
      </c>
      <c r="O53" s="90"/>
    </row>
    <row r="54" spans="2:15" x14ac:dyDescent="0.25">
      <c r="E54" s="75" t="s">
        <v>181</v>
      </c>
      <c r="I54" s="85"/>
      <c r="J54" s="16" t="str">
        <f>N32</f>
        <v>Anode-n</v>
      </c>
      <c r="K54" t="s">
        <v>133</v>
      </c>
      <c r="L54" s="26">
        <f>$L$32</f>
        <v>21.809643557400719</v>
      </c>
      <c r="M54" s="16" t="s">
        <v>134</v>
      </c>
      <c r="N54" s="16" t="s">
        <v>190</v>
      </c>
      <c r="O54" s="90"/>
    </row>
    <row r="55" spans="2:15" x14ac:dyDescent="0.25">
      <c r="E55" s="71" t="s">
        <v>191</v>
      </c>
      <c r="I55" s="85"/>
      <c r="J55" s="16" t="str">
        <f>N33</f>
        <v>Unliberated-n</v>
      </c>
      <c r="K55" t="s">
        <v>133</v>
      </c>
      <c r="L55" s="26">
        <f>$L$33*$D$42/100</f>
        <v>2.6199261146582371</v>
      </c>
      <c r="M55" s="16" t="s">
        <v>134</v>
      </c>
      <c r="N55" s="16" t="s">
        <v>190</v>
      </c>
      <c r="O55" s="90"/>
    </row>
    <row r="56" spans="2:15" x14ac:dyDescent="0.25">
      <c r="E56" s="73" t="s">
        <v>192</v>
      </c>
      <c r="I56" s="85"/>
      <c r="J56" s="16" t="str">
        <f>N38</f>
        <v>Anode-i</v>
      </c>
      <c r="K56" t="s">
        <v>133</v>
      </c>
      <c r="L56" s="26">
        <f>$L$38</f>
        <v>0.17406685579967418</v>
      </c>
      <c r="M56" s="16" t="s">
        <v>134</v>
      </c>
      <c r="N56" s="16" t="s">
        <v>190</v>
      </c>
      <c r="O56" s="90"/>
    </row>
    <row r="57" spans="2:15" x14ac:dyDescent="0.25">
      <c r="E57" s="66" t="s">
        <v>193</v>
      </c>
      <c r="I57" s="85"/>
      <c r="J57" s="16" t="str">
        <f>N39</f>
        <v>Unliberated-i</v>
      </c>
      <c r="K57" t="s">
        <v>133</v>
      </c>
      <c r="L57" s="26">
        <f>$L$39*$D$42/100</f>
        <v>6.1892615820179381E-2</v>
      </c>
      <c r="M57" s="16" t="s">
        <v>134</v>
      </c>
      <c r="N57" s="16" t="s">
        <v>190</v>
      </c>
      <c r="O57" s="90"/>
    </row>
    <row r="58" spans="2:15" x14ac:dyDescent="0.25">
      <c r="D58" t="s">
        <v>46</v>
      </c>
      <c r="E58" s="62" t="s">
        <v>139</v>
      </c>
      <c r="I58" s="85"/>
      <c r="J58" t="s">
        <v>150</v>
      </c>
      <c r="K58" t="s">
        <v>133</v>
      </c>
      <c r="L58" s="26">
        <f>$L$16*$D$42/100</f>
        <v>4.8455162261426121</v>
      </c>
      <c r="M58" s="16" t="s">
        <v>134</v>
      </c>
      <c r="N58" s="16" t="s">
        <v>190</v>
      </c>
      <c r="O58" s="90"/>
    </row>
    <row r="59" spans="2:15" x14ac:dyDescent="0.25">
      <c r="E59" s="63" t="s">
        <v>186</v>
      </c>
      <c r="I59" s="85"/>
      <c r="J59" t="s">
        <v>151</v>
      </c>
      <c r="K59" t="s">
        <v>133</v>
      </c>
      <c r="L59" s="26">
        <f>$L$17*$D$42/100</f>
        <v>0.85834483474483958</v>
      </c>
      <c r="M59" s="16" t="s">
        <v>134</v>
      </c>
      <c r="N59" s="16" t="s">
        <v>190</v>
      </c>
      <c r="O59" s="90"/>
    </row>
    <row r="60" spans="2:15" x14ac:dyDescent="0.25">
      <c r="E60" s="65" t="s">
        <v>194</v>
      </c>
      <c r="I60" s="85"/>
      <c r="L60" s="26"/>
      <c r="O60" s="90"/>
    </row>
    <row r="61" spans="2:15" x14ac:dyDescent="0.25">
      <c r="E61" s="64" t="s">
        <v>153</v>
      </c>
      <c r="I61" s="85"/>
      <c r="J61" s="16" t="str">
        <f>N28</f>
        <v>Pouch-m</v>
      </c>
      <c r="K61" t="s">
        <v>133</v>
      </c>
      <c r="L61" s="26">
        <f>$L$28</f>
        <v>0.44329884054968138</v>
      </c>
      <c r="M61" s="16" t="s">
        <v>134</v>
      </c>
      <c r="N61" s="16" t="s">
        <v>195</v>
      </c>
      <c r="O61" s="90"/>
    </row>
    <row r="62" spans="2:15" x14ac:dyDescent="0.25">
      <c r="E62" s="76" t="s">
        <v>170</v>
      </c>
      <c r="I62" s="85"/>
      <c r="J62" s="16" t="str">
        <f>N27</f>
        <v>Unliberated-m</v>
      </c>
      <c r="K62" t="s">
        <v>133</v>
      </c>
      <c r="L62" s="26">
        <f>$L$27*$D$43/100</f>
        <v>0.29185127911249681</v>
      </c>
      <c r="M62" s="16" t="s">
        <v>134</v>
      </c>
      <c r="N62" s="16" t="s">
        <v>195</v>
      </c>
      <c r="O62" s="90"/>
    </row>
    <row r="63" spans="2:15" x14ac:dyDescent="0.25">
      <c r="D63" t="s">
        <v>49</v>
      </c>
      <c r="E63" s="72" t="s">
        <v>142</v>
      </c>
      <c r="I63" s="85"/>
      <c r="J63" s="16" t="str">
        <f>N34</f>
        <v>Pouch-n</v>
      </c>
      <c r="K63" t="s">
        <v>133</v>
      </c>
      <c r="L63" s="26">
        <f>$L$34</f>
        <v>3.6877851412508282</v>
      </c>
      <c r="M63" s="16" t="s">
        <v>134</v>
      </c>
      <c r="N63" s="16" t="s">
        <v>195</v>
      </c>
      <c r="O63" s="90"/>
    </row>
    <row r="64" spans="2:15" x14ac:dyDescent="0.25">
      <c r="D64" t="s">
        <v>47</v>
      </c>
      <c r="E64" s="69" t="s">
        <v>196</v>
      </c>
      <c r="I64" s="85"/>
      <c r="J64" s="16" t="str">
        <f>N33</f>
        <v>Unliberated-n</v>
      </c>
      <c r="K64" t="s">
        <v>133</v>
      </c>
      <c r="L64" s="26">
        <f>$L$33*$D$43/100</f>
        <v>0.30608676142206426</v>
      </c>
      <c r="M64" s="16" t="s">
        <v>134</v>
      </c>
      <c r="N64" s="16" t="s">
        <v>195</v>
      </c>
      <c r="O64" s="90"/>
    </row>
    <row r="65" spans="4:15" x14ac:dyDescent="0.25">
      <c r="E65" s="67" t="s">
        <v>177</v>
      </c>
      <c r="I65" s="85"/>
      <c r="J65" s="16" t="str">
        <f>N40</f>
        <v>Pouch-i</v>
      </c>
      <c r="K65" t="s">
        <v>133</v>
      </c>
      <c r="L65" s="26">
        <f>$L$40</f>
        <v>0.16223448159225828</v>
      </c>
      <c r="M65" s="16" t="s">
        <v>134</v>
      </c>
      <c r="N65" s="16" t="s">
        <v>195</v>
      </c>
      <c r="O65" s="90"/>
    </row>
    <row r="66" spans="4:15" x14ac:dyDescent="0.25">
      <c r="E66" s="68" t="s">
        <v>173</v>
      </c>
      <c r="I66" s="85"/>
      <c r="J66" s="16" t="str">
        <f>N39</f>
        <v>Unliberated-i</v>
      </c>
      <c r="K66" t="s">
        <v>133</v>
      </c>
      <c r="L66" s="26">
        <f>$L$39*$D$43/100</f>
        <v>7.2309330504955836E-3</v>
      </c>
      <c r="M66" s="16" t="s">
        <v>134</v>
      </c>
      <c r="N66" s="16" t="s">
        <v>195</v>
      </c>
      <c r="O66" s="90"/>
    </row>
    <row r="67" spans="4:15" x14ac:dyDescent="0.25">
      <c r="D67" t="s">
        <v>48</v>
      </c>
      <c r="E67" s="70" t="s">
        <v>141</v>
      </c>
      <c r="I67" s="85"/>
      <c r="J67" t="s">
        <v>150</v>
      </c>
      <c r="K67" t="s">
        <v>133</v>
      </c>
      <c r="L67" s="26">
        <f>$L$16*$D$43/100</f>
        <v>0.56610312816837882</v>
      </c>
      <c r="M67" s="16" t="s">
        <v>134</v>
      </c>
      <c r="N67" s="16" t="s">
        <v>195</v>
      </c>
      <c r="O67" s="90"/>
    </row>
    <row r="68" spans="4:15" x14ac:dyDescent="0.25">
      <c r="D68" t="s">
        <v>197</v>
      </c>
      <c r="E68" s="78" t="s">
        <v>140</v>
      </c>
      <c r="I68" s="85"/>
      <c r="J68" t="s">
        <v>151</v>
      </c>
      <c r="K68" t="s">
        <v>133</v>
      </c>
      <c r="L68" s="26">
        <f>$L$17*$D$43/100</f>
        <v>0.10028068699360139</v>
      </c>
      <c r="M68" s="16" t="s">
        <v>134</v>
      </c>
      <c r="N68" s="16" t="s">
        <v>195</v>
      </c>
      <c r="O68" s="90"/>
    </row>
    <row r="69" spans="4:15" x14ac:dyDescent="0.25">
      <c r="I69" s="85"/>
      <c r="L69" s="26"/>
      <c r="O69" s="90"/>
    </row>
    <row r="70" spans="4:15" x14ac:dyDescent="0.25">
      <c r="I70" s="85"/>
      <c r="J70" s="16" t="str">
        <f>N29</f>
        <v>Separator-m</v>
      </c>
      <c r="K70" t="s">
        <v>133</v>
      </c>
      <c r="L70" s="26">
        <f>$L$29</f>
        <v>2.7501327033615672E-2</v>
      </c>
      <c r="M70" s="16" t="s">
        <v>134</v>
      </c>
      <c r="N70" s="16" t="s">
        <v>198</v>
      </c>
      <c r="O70" s="90"/>
    </row>
    <row r="71" spans="4:15" x14ac:dyDescent="0.25">
      <c r="I71" s="85"/>
      <c r="J71" s="16" t="str">
        <f>N27</f>
        <v>Unliberated-m</v>
      </c>
      <c r="K71" t="s">
        <v>133</v>
      </c>
      <c r="L71" s="26">
        <f>$L$27*$D$44/100</f>
        <v>9.395708818384868E-2</v>
      </c>
      <c r="M71" s="16" t="s">
        <v>134</v>
      </c>
      <c r="N71" s="16" t="s">
        <v>198</v>
      </c>
      <c r="O71" s="90"/>
    </row>
    <row r="72" spans="4:15" x14ac:dyDescent="0.25">
      <c r="I72" s="85"/>
      <c r="J72" s="16" t="str">
        <f>N35</f>
        <v>Separator-n</v>
      </c>
      <c r="K72" t="s">
        <v>133</v>
      </c>
      <c r="L72" s="26">
        <f>$L$35</f>
        <v>0.18882336856263277</v>
      </c>
      <c r="M72" s="16" t="s">
        <v>134</v>
      </c>
      <c r="N72" s="16" t="s">
        <v>198</v>
      </c>
      <c r="O72" s="90"/>
    </row>
    <row r="73" spans="4:15" x14ac:dyDescent="0.25">
      <c r="I73" s="85"/>
      <c r="J73" s="16" t="str">
        <f>N33</f>
        <v>Unliberated-n</v>
      </c>
      <c r="K73" t="s">
        <v>133</v>
      </c>
      <c r="L73" s="26">
        <f>$L$33*$D$44/100</f>
        <v>9.8539985578600525E-2</v>
      </c>
      <c r="M73" s="16" t="s">
        <v>134</v>
      </c>
      <c r="N73" s="16" t="s">
        <v>198</v>
      </c>
      <c r="O73" s="90"/>
    </row>
    <row r="74" spans="4:15" x14ac:dyDescent="0.25">
      <c r="I74" s="85"/>
      <c r="J74" s="16" t="str">
        <f>N41</f>
        <v>Separator-i</v>
      </c>
      <c r="K74" t="s">
        <v>133</v>
      </c>
      <c r="L74" s="26">
        <f>$L$41</f>
        <v>2.1404562640380442</v>
      </c>
      <c r="M74" s="16" t="s">
        <v>134</v>
      </c>
      <c r="N74" s="16" t="s">
        <v>198</v>
      </c>
      <c r="O74" s="90"/>
    </row>
    <row r="75" spans="4:15" x14ac:dyDescent="0.25">
      <c r="I75" s="85"/>
      <c r="J75" s="16" t="str">
        <f>N39</f>
        <v>Unliberated-i</v>
      </c>
      <c r="K75" t="s">
        <v>133</v>
      </c>
      <c r="L75" s="26">
        <f>$L$39*$D$44/100</f>
        <v>2.3278891096277822E-3</v>
      </c>
      <c r="M75" s="16" t="s">
        <v>134</v>
      </c>
      <c r="N75" s="16" t="s">
        <v>198</v>
      </c>
      <c r="O75" s="90"/>
    </row>
    <row r="76" spans="4:15" x14ac:dyDescent="0.25">
      <c r="I76" s="85"/>
      <c r="J76" t="s">
        <v>150</v>
      </c>
      <c r="K76" t="s">
        <v>133</v>
      </c>
      <c r="L76" s="26">
        <f>$L$16*$D$44/100</f>
        <v>0.18224830707000816</v>
      </c>
      <c r="M76" s="16" t="s">
        <v>134</v>
      </c>
      <c r="N76" s="16" t="s">
        <v>198</v>
      </c>
      <c r="O76" s="90"/>
    </row>
    <row r="77" spans="4:15" x14ac:dyDescent="0.25">
      <c r="I77" s="85"/>
      <c r="J77" t="s">
        <v>151</v>
      </c>
      <c r="K77" t="s">
        <v>133</v>
      </c>
      <c r="L77" s="26">
        <f>$L$17*$D$44/100</f>
        <v>3.2283844633632409E-2</v>
      </c>
      <c r="M77" s="16" t="s">
        <v>134</v>
      </c>
      <c r="N77" s="16" t="s">
        <v>198</v>
      </c>
      <c r="O77" s="90"/>
    </row>
    <row r="78" spans="4:15" x14ac:dyDescent="0.25">
      <c r="I78" s="85"/>
      <c r="O78" s="90"/>
    </row>
    <row r="79" spans="4:15" x14ac:dyDescent="0.25">
      <c r="I79" s="85"/>
      <c r="K79" t="s">
        <v>158</v>
      </c>
      <c r="L79" s="16" t="s">
        <v>45</v>
      </c>
      <c r="N79" s="29" t="s">
        <v>138</v>
      </c>
      <c r="O79" s="90"/>
    </row>
    <row r="80" spans="4:15" x14ac:dyDescent="0.25">
      <c r="I80" s="85"/>
      <c r="K80" t="s">
        <v>158</v>
      </c>
      <c r="L80" s="16" t="s">
        <v>46</v>
      </c>
      <c r="N80" s="62" t="s">
        <v>139</v>
      </c>
      <c r="O80" s="90"/>
    </row>
    <row r="81" spans="9:15" x14ac:dyDescent="0.25">
      <c r="I81" s="85"/>
      <c r="K81" t="s">
        <v>158</v>
      </c>
      <c r="L81" s="16" t="s">
        <v>47</v>
      </c>
      <c r="N81" s="78" t="s">
        <v>140</v>
      </c>
      <c r="O81" s="90"/>
    </row>
    <row r="82" spans="9:15" x14ac:dyDescent="0.25">
      <c r="I82" s="85"/>
      <c r="K82" t="s">
        <v>158</v>
      </c>
      <c r="L82" s="16" t="s">
        <v>48</v>
      </c>
      <c r="N82" s="70" t="s">
        <v>141</v>
      </c>
      <c r="O82" s="90"/>
    </row>
    <row r="83" spans="9:15" x14ac:dyDescent="0.25">
      <c r="I83" s="85"/>
      <c r="K83" t="s">
        <v>158</v>
      </c>
      <c r="L83" s="16" t="s">
        <v>49</v>
      </c>
      <c r="N83" s="72" t="s">
        <v>142</v>
      </c>
      <c r="O83" s="90"/>
    </row>
    <row r="84" spans="9:15" x14ac:dyDescent="0.25">
      <c r="I84" s="85"/>
      <c r="K84" t="s">
        <v>158</v>
      </c>
      <c r="L84" t="str" cm="1">
        <f t="array" ref="L84:L113">_xlfn.UNIQUE(_xlfn._xlws.FILTER(N4:N77,N4:N77&lt;&gt;""))</f>
        <v>Whole Cell</v>
      </c>
      <c r="N84" s="76" t="s">
        <v>170</v>
      </c>
      <c r="O84" s="90"/>
    </row>
    <row r="85" spans="9:15" x14ac:dyDescent="0.25">
      <c r="I85" s="85"/>
      <c r="K85" t="s">
        <v>158</v>
      </c>
      <c r="L85" s="16" t="str">
        <v>Shredded Cell</v>
      </c>
      <c r="N85" s="76" t="s">
        <v>170</v>
      </c>
      <c r="O85" s="90"/>
    </row>
    <row r="86" spans="9:15" x14ac:dyDescent="0.25">
      <c r="I86" s="85"/>
      <c r="K86" t="s">
        <v>158</v>
      </c>
      <c r="L86" t="str">
        <v>Dry Cell Pieces</v>
      </c>
      <c r="N86" s="68" t="s">
        <v>173</v>
      </c>
      <c r="O86" s="90"/>
    </row>
    <row r="87" spans="9:15" x14ac:dyDescent="0.25">
      <c r="I87" s="85"/>
      <c r="K87" t="s">
        <v>158</v>
      </c>
      <c r="L87" s="16" t="str">
        <v>Electrolyte out</v>
      </c>
      <c r="N87" s="72" t="s">
        <v>142</v>
      </c>
      <c r="O87" s="90"/>
    </row>
    <row r="88" spans="9:15" x14ac:dyDescent="0.25">
      <c r="I88" s="85"/>
      <c r="K88" t="s">
        <v>158</v>
      </c>
      <c r="L88" s="16" t="str">
        <v>1-11.2mm dry cell pieces</v>
      </c>
      <c r="N88" s="76" t="s">
        <v>170</v>
      </c>
      <c r="O88" s="90"/>
    </row>
    <row r="89" spans="9:15" x14ac:dyDescent="0.25">
      <c r="I89" s="85"/>
      <c r="K89" t="s">
        <v>158</v>
      </c>
      <c r="L89" t="str">
        <v>&lt;1mm pieces</v>
      </c>
      <c r="N89" s="67" t="s">
        <v>177</v>
      </c>
      <c r="O89" s="90"/>
    </row>
    <row r="90" spans="9:15" x14ac:dyDescent="0.25">
      <c r="I90" s="85"/>
      <c r="K90" t="s">
        <v>158</v>
      </c>
      <c r="L90" t="str">
        <v>&gt;11.2mm pieces</v>
      </c>
      <c r="N90" s="67" t="s">
        <v>177</v>
      </c>
      <c r="O90" s="90"/>
    </row>
    <row r="91" spans="9:15" x14ac:dyDescent="0.25">
      <c r="I91" s="85"/>
      <c r="K91" t="s">
        <v>158</v>
      </c>
      <c r="L91" t="str">
        <v>Conductors</v>
      </c>
      <c r="N91" s="67" t="s">
        <v>177</v>
      </c>
      <c r="O91" s="90"/>
    </row>
    <row r="92" spans="9:15" x14ac:dyDescent="0.25">
      <c r="I92" s="85"/>
      <c r="K92" t="s">
        <v>158</v>
      </c>
      <c r="L92" t="str">
        <v>Insulators</v>
      </c>
      <c r="N92" s="70" t="s">
        <v>141</v>
      </c>
      <c r="O92" s="90"/>
    </row>
    <row r="93" spans="9:15" x14ac:dyDescent="0.25">
      <c r="I93" s="85"/>
      <c r="K93" t="s">
        <v>158</v>
      </c>
      <c r="L93" t="str">
        <v>Magnetic</v>
      </c>
      <c r="N93" s="75" t="s">
        <v>181</v>
      </c>
      <c r="O93" s="90"/>
    </row>
    <row r="94" spans="9:15" x14ac:dyDescent="0.25">
      <c r="I94" s="85"/>
      <c r="K94" t="s">
        <v>158</v>
      </c>
      <c r="L94" t="str">
        <v>Non-Magnetic</v>
      </c>
      <c r="N94" s="63" t="s">
        <v>186</v>
      </c>
      <c r="O94" s="90"/>
    </row>
    <row r="95" spans="9:15" x14ac:dyDescent="0.25">
      <c r="I95" s="85"/>
      <c r="K95" t="s">
        <v>158</v>
      </c>
      <c r="L95" t="str">
        <v>Cathode-m</v>
      </c>
      <c r="N95" s="29" t="s">
        <v>138</v>
      </c>
      <c r="O95" s="90"/>
    </row>
    <row r="96" spans="9:15" x14ac:dyDescent="0.25">
      <c r="I96" s="85"/>
      <c r="K96" t="s">
        <v>158</v>
      </c>
      <c r="L96" t="str">
        <v>Anode-m</v>
      </c>
      <c r="N96" s="62" t="s">
        <v>139</v>
      </c>
      <c r="O96" s="90"/>
    </row>
    <row r="97" spans="9:15" x14ac:dyDescent="0.25">
      <c r="I97" s="85"/>
      <c r="K97" t="s">
        <v>158</v>
      </c>
      <c r="L97" t="str">
        <v>Unliberated-m</v>
      </c>
      <c r="N97" s="76" t="s">
        <v>170</v>
      </c>
      <c r="O97" s="90"/>
    </row>
    <row r="98" spans="9:15" x14ac:dyDescent="0.25">
      <c r="I98" s="85"/>
      <c r="K98" t="s">
        <v>158</v>
      </c>
      <c r="L98" t="str">
        <v>Pouch-m</v>
      </c>
      <c r="N98" s="69" t="s">
        <v>196</v>
      </c>
      <c r="O98" s="90"/>
    </row>
    <row r="99" spans="9:15" x14ac:dyDescent="0.25">
      <c r="I99" s="85"/>
      <c r="K99" t="s">
        <v>158</v>
      </c>
      <c r="L99" t="str">
        <v>Separator-m</v>
      </c>
      <c r="N99" s="70" t="s">
        <v>141</v>
      </c>
      <c r="O99" s="90"/>
    </row>
    <row r="100" spans="9:15" x14ac:dyDescent="0.25">
      <c r="I100" s="85"/>
      <c r="K100" t="s">
        <v>158</v>
      </c>
      <c r="L100" t="str">
        <v>Cathode-n</v>
      </c>
      <c r="N100" s="29" t="s">
        <v>138</v>
      </c>
      <c r="O100" s="90"/>
    </row>
    <row r="101" spans="9:15" x14ac:dyDescent="0.25">
      <c r="I101" s="85"/>
      <c r="K101" t="s">
        <v>158</v>
      </c>
      <c r="L101" t="str">
        <v>Anode-n</v>
      </c>
      <c r="N101" s="62" t="s">
        <v>139</v>
      </c>
      <c r="O101" s="90"/>
    </row>
    <row r="102" spans="9:15" x14ac:dyDescent="0.25">
      <c r="I102" s="85"/>
      <c r="K102" t="s">
        <v>158</v>
      </c>
      <c r="L102" t="str">
        <v>Unliberated-n</v>
      </c>
      <c r="N102" s="76" t="s">
        <v>170</v>
      </c>
      <c r="O102" s="90"/>
    </row>
    <row r="103" spans="9:15" x14ac:dyDescent="0.25">
      <c r="I103" s="85"/>
      <c r="K103" t="s">
        <v>158</v>
      </c>
      <c r="L103" t="str">
        <v>Pouch-n</v>
      </c>
      <c r="N103" s="69" t="s">
        <v>196</v>
      </c>
      <c r="O103" s="90"/>
    </row>
    <row r="104" spans="9:15" x14ac:dyDescent="0.25">
      <c r="I104" s="85"/>
      <c r="K104" t="s">
        <v>158</v>
      </c>
      <c r="L104" t="str">
        <v>Separator-n</v>
      </c>
      <c r="N104" s="70" t="s">
        <v>141</v>
      </c>
      <c r="O104" s="90"/>
    </row>
    <row r="105" spans="9:15" x14ac:dyDescent="0.25">
      <c r="I105" s="85"/>
      <c r="K105" t="s">
        <v>158</v>
      </c>
      <c r="L105" t="str">
        <v>Cathode-i</v>
      </c>
      <c r="N105" s="29" t="s">
        <v>138</v>
      </c>
      <c r="O105" s="90"/>
    </row>
    <row r="106" spans="9:15" x14ac:dyDescent="0.25">
      <c r="I106" s="85"/>
      <c r="K106" t="s">
        <v>158</v>
      </c>
      <c r="L106" t="str">
        <v>Anode-i</v>
      </c>
      <c r="N106" s="62" t="s">
        <v>139</v>
      </c>
      <c r="O106" s="90"/>
    </row>
    <row r="107" spans="9:15" x14ac:dyDescent="0.25">
      <c r="I107" s="85"/>
      <c r="K107" t="s">
        <v>158</v>
      </c>
      <c r="L107" t="str">
        <v>Unliberated-i</v>
      </c>
      <c r="N107" s="76" t="s">
        <v>170</v>
      </c>
      <c r="O107" s="90"/>
    </row>
    <row r="108" spans="9:15" x14ac:dyDescent="0.25">
      <c r="I108" s="85"/>
      <c r="K108" t="s">
        <v>158</v>
      </c>
      <c r="L108" t="str">
        <v>Pouch-i</v>
      </c>
      <c r="N108" s="69" t="s">
        <v>196</v>
      </c>
      <c r="O108" s="90"/>
    </row>
    <row r="109" spans="9:15" x14ac:dyDescent="0.25">
      <c r="I109" s="85"/>
      <c r="K109" t="s">
        <v>158</v>
      </c>
      <c r="L109" t="str">
        <v>Separator-i</v>
      </c>
      <c r="N109" s="70" t="s">
        <v>141</v>
      </c>
      <c r="O109" s="90"/>
    </row>
    <row r="110" spans="9:15" x14ac:dyDescent="0.25">
      <c r="I110" s="85"/>
      <c r="K110" t="s">
        <v>158</v>
      </c>
      <c r="L110" t="str">
        <v>Cathode-final</v>
      </c>
      <c r="N110" s="29" t="s">
        <v>138</v>
      </c>
      <c r="O110" s="90"/>
    </row>
    <row r="111" spans="9:15" x14ac:dyDescent="0.25">
      <c r="I111" s="85"/>
      <c r="K111" t="s">
        <v>158</v>
      </c>
      <c r="L111" t="str">
        <v>Anode-final</v>
      </c>
      <c r="N111" s="62" t="s">
        <v>139</v>
      </c>
      <c r="O111" s="90"/>
    </row>
    <row r="112" spans="9:15" x14ac:dyDescent="0.25">
      <c r="I112" s="85"/>
      <c r="K112" t="s">
        <v>158</v>
      </c>
      <c r="L112" t="str">
        <v>Pouch-final</v>
      </c>
      <c r="N112" s="69" t="s">
        <v>196</v>
      </c>
      <c r="O112" s="90"/>
    </row>
    <row r="113" spans="9:15" ht="15.75" thickBot="1" x14ac:dyDescent="0.3">
      <c r="I113" s="91"/>
      <c r="J113" s="92"/>
      <c r="K113" s="92" t="s">
        <v>158</v>
      </c>
      <c r="L113" s="92" t="str">
        <v>Separator-final</v>
      </c>
      <c r="M113" s="92"/>
      <c r="N113" s="93" t="s">
        <v>141</v>
      </c>
      <c r="O113" s="9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6A3879D97EB438A08A70640A46BBE" ma:contentTypeVersion="19" ma:contentTypeDescription="Create a new document." ma:contentTypeScope="" ma:versionID="398c1d85cd0217fe2c2a4bcbffed04f0">
  <xsd:schema xmlns:xsd="http://www.w3.org/2001/XMLSchema" xmlns:xs="http://www.w3.org/2001/XMLSchema" xmlns:p="http://schemas.microsoft.com/office/2006/metadata/properties" xmlns:ns2="a0a34856-a2e8-45c5-a6a0-fb6ea874a71e" xmlns:ns3="01119be7-4f37-406c-bdf5-3c4971e8b24c" targetNamespace="http://schemas.microsoft.com/office/2006/metadata/properties" ma:root="true" ma:fieldsID="87e5d818089a3dbc8608fc12ff11207c" ns2:_="" ns3:_="">
    <xsd:import namespace="a0a34856-a2e8-45c5-a6a0-fb6ea874a71e"/>
    <xsd:import namespace="01119be7-4f37-406c-bdf5-3c4971e8b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34856-a2e8-45c5-a6a0-fb6ea874a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04c078-836f-4e8f-a038-46f70b500bdd}" ma:internalName="TaxCatchAll" ma:showField="CatchAllData" ma:web="a0a34856-a2e8-45c5-a6a0-fb6ea874a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19be7-4f37-406c-bdf5-3c4971e8b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7af76c-f141-45ca-ae1a-4959eb0cbd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19be7-4f37-406c-bdf5-3c4971e8b24c">
      <Terms xmlns="http://schemas.microsoft.com/office/infopath/2007/PartnerControls"/>
    </lcf76f155ced4ddcb4097134ff3c332f>
    <TaxCatchAll xmlns="a0a34856-a2e8-45c5-a6a0-fb6ea874a71e" xsi:nil="true"/>
  </documentManagement>
</p:properties>
</file>

<file path=customXml/itemProps1.xml><?xml version="1.0" encoding="utf-8"?>
<ds:datastoreItem xmlns:ds="http://schemas.openxmlformats.org/officeDocument/2006/customXml" ds:itemID="{359CCC07-DEEA-44AA-B5C5-53A3B9DD6DAF}"/>
</file>

<file path=customXml/itemProps2.xml><?xml version="1.0" encoding="utf-8"?>
<ds:datastoreItem xmlns:ds="http://schemas.openxmlformats.org/officeDocument/2006/customXml" ds:itemID="{DA79FF21-A6F5-422D-A186-B6BD5EA84784}"/>
</file>

<file path=customXml/itemProps3.xml><?xml version="1.0" encoding="utf-8"?>
<ds:datastoreItem xmlns:ds="http://schemas.openxmlformats.org/officeDocument/2006/customXml" ds:itemID="{70B438A3-86AD-4BC7-9794-37470786C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R0030_LFP</vt:lpstr>
      <vt:lpstr>R0030_LFP_100%</vt:lpstr>
      <vt:lpstr>R0030_LFP_Averages</vt:lpstr>
      <vt:lpstr>R0030_LFP_Liberation</vt:lpstr>
      <vt:lpstr>R0030_LFP_Total</vt:lpstr>
      <vt:lpstr>R0030_LFP_Inc_Electrolyte</vt:lpstr>
      <vt:lpstr>R0030_LFP_Exc_Electrolyte</vt:lpstr>
      <vt:lpstr>R0030_LFP_Sankey</vt:lpstr>
      <vt:lpstr>R0031_Gen2</vt:lpstr>
      <vt:lpstr>R0031_Gen2_100%</vt:lpstr>
      <vt:lpstr>R0031_Gen2_Averages</vt:lpstr>
      <vt:lpstr>R0031_Gen2_Liberation</vt:lpstr>
      <vt:lpstr>R0031_Gen2_Total</vt:lpstr>
      <vt:lpstr>R0031_Gen2_Exc_Electrolyte</vt:lpstr>
      <vt:lpstr>R0031_Gen2_Inc_Electrolyte</vt:lpstr>
      <vt:lpstr>R0025_Gen1_Liberation</vt:lpstr>
      <vt:lpstr>R0031_Gen2_Sankey</vt:lpstr>
      <vt:lpstr>R0025_Gen1</vt:lpstr>
      <vt:lpstr>R0025_Gen1_100%</vt:lpstr>
      <vt:lpstr>R0025_Gen1_Averages</vt:lpstr>
      <vt:lpstr>R0025_Gen1_Total</vt:lpstr>
      <vt:lpstr>R0025_Gen1_Inc_Electrolyte</vt:lpstr>
      <vt:lpstr>R0025_Gen1_Errors_Simple</vt:lpstr>
      <vt:lpstr>R0025_Gen1_Exc_Electrolyte</vt:lpstr>
      <vt:lpstr>R0025_Gen1_Sankey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2025-02-25T13:41:36Z</dcterms:created>
  <dcterms:modified xsi:type="dcterms:W3CDTF">2025-02-25T13:42:21Z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0x010100B7E6A3879D97EB438A08A70640A46BBE</vt:lpwstr>
  </property>
</Properties>
</file>