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Appendices\"/>
    </mc:Choice>
  </mc:AlternateContent>
  <xr:revisionPtr revIDLastSave="0" documentId="13_ncr:1_{45734C9F-8773-4737-87DB-6D5F47863F19}" xr6:coauthVersionLast="47" xr6:coauthVersionMax="47" xr10:uidLastSave="{00000000-0000-0000-0000-000000000000}"/>
  <bookViews>
    <workbookView xWindow="-120" yWindow="-120" windowWidth="29040" windowHeight="15840" activeTab="4" xr2:uid="{40C7A380-1760-4608-BD5C-6BF7B810A4FC}"/>
  </bookViews>
  <sheets>
    <sheet name="Thickness and amalgamation" sheetId="11" r:id="rId1"/>
    <sheet name="FA% on log (10m)" sheetId="2" r:id="rId2"/>
    <sheet name="Outcrop FA% (10m)" sheetId="10" r:id="rId3"/>
    <sheet name="FA% on log (10%)" sheetId="12" r:id="rId4"/>
    <sheet name="Outcrop FA% (10%)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3" l="1"/>
  <c r="Q16" i="10"/>
  <c r="D16" i="10"/>
  <c r="J36" i="13"/>
  <c r="J6" i="13"/>
  <c r="J26" i="13" s="1"/>
  <c r="J19" i="12"/>
  <c r="J16" i="12"/>
  <c r="J36" i="12" s="1"/>
  <c r="I18" i="12"/>
  <c r="H18" i="12"/>
  <c r="H38" i="12" s="1"/>
  <c r="G18" i="12"/>
  <c r="F18" i="12"/>
  <c r="F13" i="12"/>
  <c r="F33" i="12" s="1"/>
  <c r="E18" i="12"/>
  <c r="E38" i="12" s="1"/>
  <c r="C18" i="12"/>
  <c r="C38" i="12" s="1"/>
  <c r="C16" i="12"/>
  <c r="B18" i="12"/>
  <c r="B38" i="12" s="1"/>
  <c r="K9" i="12"/>
  <c r="J9" i="12"/>
  <c r="J6" i="12"/>
  <c r="I9" i="12"/>
  <c r="H9" i="12"/>
  <c r="H29" i="12" s="1"/>
  <c r="H42" i="12" s="1"/>
  <c r="H6" i="12"/>
  <c r="G9" i="12"/>
  <c r="G29" i="12" s="1"/>
  <c r="G42" i="12" s="1"/>
  <c r="F9" i="12"/>
  <c r="F3" i="12"/>
  <c r="F23" i="12" s="1"/>
  <c r="F2" i="12"/>
  <c r="E9" i="12"/>
  <c r="D9" i="12"/>
  <c r="C9" i="12"/>
  <c r="B9" i="12"/>
  <c r="B29" i="12" s="1"/>
  <c r="B8" i="12"/>
  <c r="B28" i="12" s="1"/>
  <c r="Q8" i="10"/>
  <c r="Q6" i="10"/>
  <c r="N19" i="2"/>
  <c r="N18" i="2"/>
  <c r="L19" i="2"/>
  <c r="K19" i="2"/>
  <c r="J18" i="2"/>
  <c r="I18" i="2"/>
  <c r="H18" i="2"/>
  <c r="G19" i="2"/>
  <c r="F19" i="2"/>
  <c r="E18" i="2"/>
  <c r="E16" i="2"/>
  <c r="D18" i="2"/>
  <c r="D16" i="2"/>
  <c r="R19" i="2"/>
  <c r="Q19" i="2"/>
  <c r="Q16" i="2"/>
  <c r="P19" i="2"/>
  <c r="O19" i="2"/>
  <c r="R8" i="2"/>
  <c r="Q9" i="2"/>
  <c r="Q6" i="2"/>
  <c r="M9" i="2"/>
  <c r="K9" i="2"/>
  <c r="K6" i="2"/>
  <c r="J9" i="2"/>
  <c r="J5" i="2"/>
  <c r="I5" i="2"/>
  <c r="H9" i="2"/>
  <c r="G9" i="2"/>
  <c r="G3" i="2"/>
  <c r="F9" i="2"/>
  <c r="E9" i="2"/>
  <c r="D8" i="2"/>
  <c r="C8" i="2"/>
  <c r="D9" i="2"/>
  <c r="C9" i="2"/>
  <c r="G13" i="11"/>
  <c r="G28" i="11"/>
  <c r="G29" i="11"/>
  <c r="F27" i="11"/>
  <c r="F28" i="11"/>
  <c r="F29" i="11"/>
  <c r="E28" i="11"/>
  <c r="E29" i="11"/>
  <c r="E30" i="11"/>
  <c r="P2" i="13"/>
  <c r="U2" i="13"/>
  <c r="F3" i="13"/>
  <c r="K3" i="13"/>
  <c r="K23" i="13" s="1"/>
  <c r="I6" i="13"/>
  <c r="C8" i="13"/>
  <c r="E8" i="13"/>
  <c r="F8" i="13"/>
  <c r="F28" i="13" s="1"/>
  <c r="G8" i="13"/>
  <c r="G28" i="13" s="1"/>
  <c r="G47" i="13" s="1"/>
  <c r="H8" i="13"/>
  <c r="H28" i="13" s="1"/>
  <c r="I8" i="13"/>
  <c r="K8" i="13"/>
  <c r="K28" i="13" s="1"/>
  <c r="J12" i="13"/>
  <c r="F13" i="13"/>
  <c r="G13" i="13"/>
  <c r="B15" i="13"/>
  <c r="H15" i="13"/>
  <c r="C16" i="13"/>
  <c r="B18" i="13"/>
  <c r="C18" i="13"/>
  <c r="D18" i="13"/>
  <c r="D38" i="13" s="1"/>
  <c r="D50" i="13" s="1"/>
  <c r="E18" i="13"/>
  <c r="E38" i="13" s="1"/>
  <c r="F18" i="13"/>
  <c r="G18" i="13"/>
  <c r="G38" i="13" s="1"/>
  <c r="G50" i="13" s="1"/>
  <c r="H18" i="13"/>
  <c r="H38" i="13" s="1"/>
  <c r="I18" i="13"/>
  <c r="I38" i="13" s="1"/>
  <c r="K18" i="13"/>
  <c r="K38" i="13" s="1"/>
  <c r="B22" i="13"/>
  <c r="C22" i="13"/>
  <c r="D22" i="13"/>
  <c r="E22" i="13"/>
  <c r="F22" i="13"/>
  <c r="G22" i="13"/>
  <c r="H22" i="13"/>
  <c r="I22" i="13"/>
  <c r="J22" i="13"/>
  <c r="K22" i="13"/>
  <c r="B23" i="13"/>
  <c r="C23" i="13"/>
  <c r="D23" i="13"/>
  <c r="E23" i="13"/>
  <c r="F23" i="13"/>
  <c r="G23" i="13"/>
  <c r="H23" i="13"/>
  <c r="I23" i="13"/>
  <c r="J23" i="13"/>
  <c r="B24" i="13"/>
  <c r="D24" i="13"/>
  <c r="E24" i="13"/>
  <c r="F24" i="13"/>
  <c r="G24" i="13"/>
  <c r="H24" i="13"/>
  <c r="I24" i="13"/>
  <c r="J24" i="13"/>
  <c r="K24" i="13"/>
  <c r="B25" i="13"/>
  <c r="C25" i="13"/>
  <c r="D25" i="13"/>
  <c r="E25" i="13"/>
  <c r="F25" i="13"/>
  <c r="G25" i="13"/>
  <c r="G42" i="13" s="1"/>
  <c r="H25" i="13"/>
  <c r="I25" i="13"/>
  <c r="J25" i="13"/>
  <c r="K25" i="13"/>
  <c r="B26" i="13"/>
  <c r="C26" i="13"/>
  <c r="D26" i="13"/>
  <c r="E26" i="13"/>
  <c r="E42" i="13" s="1"/>
  <c r="F26" i="13"/>
  <c r="G26" i="13"/>
  <c r="H26" i="13"/>
  <c r="I26" i="13"/>
  <c r="K26" i="13"/>
  <c r="B27" i="13"/>
  <c r="C27" i="13"/>
  <c r="D27" i="13"/>
  <c r="E27" i="13"/>
  <c r="F27" i="13"/>
  <c r="G27" i="13"/>
  <c r="H27" i="13"/>
  <c r="I27" i="13"/>
  <c r="J27" i="13"/>
  <c r="K27" i="13"/>
  <c r="B28" i="13"/>
  <c r="C28" i="13"/>
  <c r="D28" i="13"/>
  <c r="E28" i="13"/>
  <c r="I28" i="13"/>
  <c r="J28" i="13"/>
  <c r="B32" i="13"/>
  <c r="B44" i="13" s="1"/>
  <c r="C32" i="13"/>
  <c r="D32" i="13"/>
  <c r="E32" i="13"/>
  <c r="F32" i="13"/>
  <c r="F44" i="13" s="1"/>
  <c r="G32" i="13"/>
  <c r="G51" i="13" s="1"/>
  <c r="H32" i="13"/>
  <c r="I32" i="13"/>
  <c r="J32" i="13"/>
  <c r="K32" i="13"/>
  <c r="K51" i="13" s="1"/>
  <c r="B33" i="13"/>
  <c r="C33" i="13"/>
  <c r="D33" i="13"/>
  <c r="D44" i="13" s="1"/>
  <c r="E33" i="13"/>
  <c r="E44" i="13" s="1"/>
  <c r="F33" i="13"/>
  <c r="G33" i="13"/>
  <c r="H33" i="13"/>
  <c r="I33" i="13"/>
  <c r="I44" i="13" s="1"/>
  <c r="K33" i="13"/>
  <c r="B34" i="13"/>
  <c r="C34" i="13"/>
  <c r="D34" i="13"/>
  <c r="E34" i="13"/>
  <c r="F34" i="13"/>
  <c r="G34" i="13"/>
  <c r="H34" i="13"/>
  <c r="I34" i="13"/>
  <c r="J34" i="13"/>
  <c r="K34" i="13"/>
  <c r="B35" i="13"/>
  <c r="B51" i="13" s="1"/>
  <c r="C35" i="13"/>
  <c r="D35" i="13"/>
  <c r="E35" i="13"/>
  <c r="F35" i="13"/>
  <c r="F45" i="13" s="1"/>
  <c r="G35" i="13"/>
  <c r="H35" i="13"/>
  <c r="I35" i="13"/>
  <c r="J35" i="13"/>
  <c r="K35" i="13"/>
  <c r="B36" i="13"/>
  <c r="C36" i="13"/>
  <c r="D36" i="13"/>
  <c r="E36" i="13"/>
  <c r="F36" i="13"/>
  <c r="G36" i="13"/>
  <c r="H36" i="13"/>
  <c r="I36" i="13"/>
  <c r="K36" i="13"/>
  <c r="B37" i="13"/>
  <c r="C37" i="13"/>
  <c r="D37" i="13"/>
  <c r="E37" i="13"/>
  <c r="F37" i="13"/>
  <c r="G37" i="13"/>
  <c r="G45" i="13" s="1"/>
  <c r="H37" i="13"/>
  <c r="I37" i="13"/>
  <c r="J37" i="13"/>
  <c r="K37" i="13"/>
  <c r="B38" i="13"/>
  <c r="C38" i="13"/>
  <c r="F38" i="13"/>
  <c r="B41" i="13"/>
  <c r="D41" i="13"/>
  <c r="F41" i="13"/>
  <c r="H41" i="13"/>
  <c r="J41" i="13"/>
  <c r="B42" i="13"/>
  <c r="C42" i="13"/>
  <c r="I42" i="13"/>
  <c r="C44" i="13"/>
  <c r="G44" i="13"/>
  <c r="H44" i="13"/>
  <c r="B45" i="13"/>
  <c r="C45" i="13"/>
  <c r="B47" i="13"/>
  <c r="C47" i="13"/>
  <c r="D47" i="13"/>
  <c r="B48" i="13"/>
  <c r="D48" i="13"/>
  <c r="E48" i="13"/>
  <c r="F48" i="13"/>
  <c r="H48" i="13"/>
  <c r="I48" i="13"/>
  <c r="J48" i="13"/>
  <c r="C50" i="13"/>
  <c r="C51" i="13"/>
  <c r="E51" i="13"/>
  <c r="I51" i="13"/>
  <c r="J51" i="13"/>
  <c r="E29" i="12"/>
  <c r="I29" i="12"/>
  <c r="B22" i="12"/>
  <c r="C22" i="12"/>
  <c r="C48" i="12" s="1"/>
  <c r="D22" i="12"/>
  <c r="D48" i="12" s="1"/>
  <c r="E22" i="12"/>
  <c r="F22" i="12"/>
  <c r="G22" i="12"/>
  <c r="H22" i="12"/>
  <c r="H41" i="12" s="1"/>
  <c r="I22" i="12"/>
  <c r="J22" i="12"/>
  <c r="K22" i="12"/>
  <c r="B23" i="12"/>
  <c r="B41" i="12" s="1"/>
  <c r="C23" i="12"/>
  <c r="D23" i="12"/>
  <c r="E23" i="12"/>
  <c r="G23" i="12"/>
  <c r="H23" i="12"/>
  <c r="I23" i="12"/>
  <c r="I41" i="12" s="1"/>
  <c r="J23" i="12"/>
  <c r="K23" i="12"/>
  <c r="K41" i="12" s="1"/>
  <c r="B24" i="12"/>
  <c r="C24" i="12"/>
  <c r="D24" i="12"/>
  <c r="E24" i="12"/>
  <c r="F24" i="12"/>
  <c r="G24" i="12"/>
  <c r="H24" i="12"/>
  <c r="I24" i="12"/>
  <c r="J24" i="12"/>
  <c r="K24" i="12"/>
  <c r="B25" i="12"/>
  <c r="C25" i="12"/>
  <c r="D25" i="12"/>
  <c r="E25" i="12"/>
  <c r="F25" i="12"/>
  <c r="G25" i="12"/>
  <c r="H25" i="12"/>
  <c r="I25" i="12"/>
  <c r="J25" i="12"/>
  <c r="K25" i="12"/>
  <c r="B26" i="12"/>
  <c r="C26" i="12"/>
  <c r="C42" i="12" s="1"/>
  <c r="D26" i="12"/>
  <c r="E26" i="12"/>
  <c r="F26" i="12"/>
  <c r="G26" i="12"/>
  <c r="H26" i="12"/>
  <c r="I26" i="12"/>
  <c r="J26" i="12"/>
  <c r="K26" i="12"/>
  <c r="B27" i="12"/>
  <c r="C27" i="12"/>
  <c r="D27" i="12"/>
  <c r="E27" i="12"/>
  <c r="F27" i="12"/>
  <c r="G27" i="12"/>
  <c r="H27" i="12"/>
  <c r="I27" i="12"/>
  <c r="J27" i="12"/>
  <c r="K27" i="12"/>
  <c r="C28" i="12"/>
  <c r="D28" i="12"/>
  <c r="E28" i="12"/>
  <c r="F28" i="12"/>
  <c r="G28" i="12"/>
  <c r="H28" i="12"/>
  <c r="I28" i="12"/>
  <c r="J28" i="12"/>
  <c r="K28" i="12"/>
  <c r="C29" i="12"/>
  <c r="D29" i="12"/>
  <c r="F29" i="12"/>
  <c r="J29" i="12"/>
  <c r="K29" i="12"/>
  <c r="B32" i="12"/>
  <c r="C32" i="12"/>
  <c r="C51" i="12" s="1"/>
  <c r="D32" i="12"/>
  <c r="D51" i="12" s="1"/>
  <c r="E32" i="12"/>
  <c r="F32" i="12"/>
  <c r="G32" i="12"/>
  <c r="G51" i="12" s="1"/>
  <c r="H32" i="12"/>
  <c r="I32" i="12"/>
  <c r="J32" i="12"/>
  <c r="K32" i="12"/>
  <c r="K51" i="12" s="1"/>
  <c r="B33" i="12"/>
  <c r="C33" i="12"/>
  <c r="D33" i="12"/>
  <c r="E33" i="12"/>
  <c r="G33" i="12"/>
  <c r="H33" i="12"/>
  <c r="I33" i="12"/>
  <c r="I44" i="12" s="1"/>
  <c r="J33" i="12"/>
  <c r="K33" i="12"/>
  <c r="B34" i="12"/>
  <c r="C34" i="12"/>
  <c r="D34" i="12"/>
  <c r="E34" i="12"/>
  <c r="F34" i="12"/>
  <c r="G34" i="12"/>
  <c r="H34" i="12"/>
  <c r="I34" i="12"/>
  <c r="J34" i="12"/>
  <c r="K34" i="12"/>
  <c r="B35" i="12"/>
  <c r="C35" i="12"/>
  <c r="D35" i="12"/>
  <c r="E35" i="12"/>
  <c r="F35" i="12"/>
  <c r="G35" i="12"/>
  <c r="H35" i="12"/>
  <c r="H51" i="12" s="1"/>
  <c r="I35" i="12"/>
  <c r="J35" i="12"/>
  <c r="K35" i="12"/>
  <c r="K45" i="12" s="1"/>
  <c r="B36" i="12"/>
  <c r="C36" i="12"/>
  <c r="D36" i="12"/>
  <c r="E36" i="12"/>
  <c r="F36" i="12"/>
  <c r="G36" i="12"/>
  <c r="H36" i="12"/>
  <c r="I36" i="12"/>
  <c r="K36" i="12"/>
  <c r="B37" i="12"/>
  <c r="C37" i="12"/>
  <c r="D37" i="12"/>
  <c r="E37" i="12"/>
  <c r="F37" i="12"/>
  <c r="F51" i="12" s="1"/>
  <c r="G37" i="12"/>
  <c r="H37" i="12"/>
  <c r="I37" i="12"/>
  <c r="J37" i="12"/>
  <c r="K37" i="12"/>
  <c r="D38" i="12"/>
  <c r="D50" i="12" s="1"/>
  <c r="F38" i="12"/>
  <c r="G38" i="12"/>
  <c r="I38" i="12"/>
  <c r="J38" i="12"/>
  <c r="K38" i="12"/>
  <c r="B39" i="12"/>
  <c r="C39" i="12"/>
  <c r="D39" i="12"/>
  <c r="E39" i="12"/>
  <c r="F39" i="12"/>
  <c r="G39" i="12"/>
  <c r="H39" i="12"/>
  <c r="I39" i="12"/>
  <c r="J39" i="12"/>
  <c r="K39" i="12"/>
  <c r="B48" i="12"/>
  <c r="K48" i="12"/>
  <c r="H50" i="13" l="1"/>
  <c r="E41" i="13"/>
  <c r="G48" i="13"/>
  <c r="C48" i="13"/>
  <c r="K44" i="13"/>
  <c r="D42" i="13"/>
  <c r="K42" i="13"/>
  <c r="I41" i="13"/>
  <c r="K48" i="13"/>
  <c r="F51" i="13"/>
  <c r="H45" i="13"/>
  <c r="D45" i="13"/>
  <c r="F50" i="13"/>
  <c r="B50" i="13"/>
  <c r="J18" i="13"/>
  <c r="J38" i="13" s="1"/>
  <c r="J45" i="13" s="1"/>
  <c r="K50" i="13"/>
  <c r="K45" i="13"/>
  <c r="J42" i="13"/>
  <c r="J47" i="13"/>
  <c r="H42" i="13"/>
  <c r="H47" i="13"/>
  <c r="J45" i="12"/>
  <c r="J50" i="12"/>
  <c r="J44" i="12"/>
  <c r="J51" i="12"/>
  <c r="I50" i="12"/>
  <c r="H44" i="12"/>
  <c r="G45" i="12"/>
  <c r="F44" i="12"/>
  <c r="F50" i="12"/>
  <c r="F45" i="12"/>
  <c r="E44" i="12"/>
  <c r="D45" i="12"/>
  <c r="D44" i="12"/>
  <c r="B50" i="12"/>
  <c r="B45" i="12"/>
  <c r="B51" i="12"/>
  <c r="B44" i="12"/>
  <c r="K42" i="12"/>
  <c r="J42" i="12"/>
  <c r="J47" i="12"/>
  <c r="H47" i="12"/>
  <c r="G48" i="12"/>
  <c r="G41" i="12"/>
  <c r="F42" i="12"/>
  <c r="F47" i="12"/>
  <c r="F41" i="12"/>
  <c r="E41" i="12"/>
  <c r="D47" i="12"/>
  <c r="D42" i="12"/>
  <c r="C41" i="12"/>
  <c r="E50" i="12"/>
  <c r="I45" i="12"/>
  <c r="E45" i="12"/>
  <c r="K44" i="12"/>
  <c r="G44" i="12"/>
  <c r="C44" i="12"/>
  <c r="I51" i="12"/>
  <c r="E51" i="12"/>
  <c r="C45" i="12"/>
  <c r="J41" i="12"/>
  <c r="D41" i="12"/>
  <c r="F48" i="12"/>
  <c r="J48" i="12"/>
  <c r="H48" i="12"/>
  <c r="I42" i="12"/>
  <c r="E42" i="12"/>
  <c r="I48" i="12"/>
  <c r="E48" i="12"/>
  <c r="I47" i="12"/>
  <c r="E47" i="12"/>
  <c r="I50" i="13"/>
  <c r="I45" i="13"/>
  <c r="E50" i="13"/>
  <c r="E45" i="13"/>
  <c r="K47" i="13"/>
  <c r="F47" i="13"/>
  <c r="F42" i="13"/>
  <c r="H45" i="12"/>
  <c r="H50" i="12"/>
  <c r="B47" i="12"/>
  <c r="B42" i="12"/>
  <c r="K41" i="13"/>
  <c r="G41" i="13"/>
  <c r="C41" i="13"/>
  <c r="K50" i="12"/>
  <c r="G50" i="12"/>
  <c r="C50" i="12"/>
  <c r="K47" i="12"/>
  <c r="G47" i="12"/>
  <c r="C47" i="12"/>
  <c r="H51" i="13"/>
  <c r="D51" i="13"/>
  <c r="J33" i="13"/>
  <c r="I47" i="13"/>
  <c r="E47" i="13"/>
  <c r="J50" i="13" l="1"/>
  <c r="J44" i="13"/>
  <c r="Q51" i="10"/>
  <c r="G20" i="11"/>
  <c r="G21" i="11"/>
  <c r="G22" i="11"/>
  <c r="G19" i="11"/>
  <c r="G12" i="11"/>
  <c r="E7" i="11"/>
  <c r="E8" i="11"/>
  <c r="E9" i="11"/>
  <c r="E10" i="11"/>
  <c r="E11" i="11"/>
  <c r="E12" i="11"/>
  <c r="E13" i="11"/>
  <c r="F12" i="11"/>
  <c r="T51" i="10"/>
  <c r="T50" i="10"/>
  <c r="T48" i="10"/>
  <c r="T47" i="10"/>
  <c r="T51" i="2"/>
  <c r="T50" i="2"/>
  <c r="T48" i="2"/>
  <c r="T47" i="2"/>
  <c r="F18" i="11"/>
  <c r="F19" i="11"/>
  <c r="F20" i="11"/>
  <c r="F21" i="11"/>
  <c r="F22" i="11"/>
  <c r="F23" i="11"/>
  <c r="F25" i="11"/>
  <c r="G25" i="11" s="1"/>
  <c r="F26" i="11"/>
  <c r="E19" i="11"/>
  <c r="E20" i="11"/>
  <c r="E21" i="11"/>
  <c r="E22" i="11"/>
  <c r="E23" i="11"/>
  <c r="E24" i="11"/>
  <c r="G24" i="11" s="1"/>
  <c r="E26" i="11"/>
  <c r="E27" i="11"/>
  <c r="E6" i="11"/>
  <c r="F6" i="11"/>
  <c r="F7" i="11"/>
  <c r="F8" i="11"/>
  <c r="F9" i="11"/>
  <c r="G9" i="11" s="1"/>
  <c r="F10" i="11"/>
  <c r="F11" i="11"/>
  <c r="F5" i="11"/>
  <c r="G23" i="11" l="1"/>
  <c r="G11" i="11"/>
  <c r="G6" i="11"/>
  <c r="G10" i="11"/>
  <c r="G27" i="11"/>
  <c r="G8" i="11"/>
  <c r="G26" i="11"/>
  <c r="G7" i="11"/>
  <c r="AI5" i="10"/>
  <c r="AJ5" i="10"/>
  <c r="R33" i="10" s="1"/>
  <c r="T45" i="10"/>
  <c r="T44" i="10"/>
  <c r="T42" i="10"/>
  <c r="T41" i="10"/>
  <c r="T45" i="2"/>
  <c r="T42" i="2"/>
  <c r="T44" i="2"/>
  <c r="T41" i="2"/>
  <c r="Q12" i="10"/>
  <c r="Q18" i="10" s="1"/>
  <c r="Q38" i="10" s="1"/>
  <c r="R12" i="10"/>
  <c r="R32" i="10" s="1"/>
  <c r="AJ2" i="10"/>
  <c r="R25" i="10" s="1"/>
  <c r="AI2" i="10"/>
  <c r="Q26" i="10" s="1"/>
  <c r="P33" i="10"/>
  <c r="P12" i="10"/>
  <c r="O18" i="10"/>
  <c r="N18" i="10"/>
  <c r="N38" i="10" s="1"/>
  <c r="M18" i="10"/>
  <c r="L15" i="10"/>
  <c r="L18" i="10" s="1"/>
  <c r="L38" i="10" s="1"/>
  <c r="K18" i="10"/>
  <c r="K38" i="10" s="1"/>
  <c r="J18" i="10"/>
  <c r="J38" i="10" s="1"/>
  <c r="I18" i="10"/>
  <c r="H18" i="10"/>
  <c r="G18" i="10"/>
  <c r="G38" i="10" s="1"/>
  <c r="E18" i="10"/>
  <c r="E38" i="10" s="1"/>
  <c r="E16" i="10"/>
  <c r="E36" i="10" s="1"/>
  <c r="D18" i="10"/>
  <c r="D38" i="10" s="1"/>
  <c r="D36" i="10"/>
  <c r="C18" i="10"/>
  <c r="C38" i="10" s="1"/>
  <c r="C15" i="10"/>
  <c r="R8" i="10"/>
  <c r="R28" i="10" s="1"/>
  <c r="R3" i="10"/>
  <c r="R23" i="10" s="1"/>
  <c r="K8" i="10"/>
  <c r="K28" i="10" s="1"/>
  <c r="K6" i="10"/>
  <c r="J8" i="10"/>
  <c r="J5" i="10"/>
  <c r="I8" i="10"/>
  <c r="H8" i="10"/>
  <c r="G8" i="10"/>
  <c r="G28" i="10" s="1"/>
  <c r="G3" i="10"/>
  <c r="G23" i="10" s="1"/>
  <c r="F8" i="10"/>
  <c r="F28" i="10" s="1"/>
  <c r="E8" i="10"/>
  <c r="D8" i="10"/>
  <c r="O35" i="10"/>
  <c r="R34" i="10"/>
  <c r="R36" i="10"/>
  <c r="Q33" i="10"/>
  <c r="Q34" i="10"/>
  <c r="Q35" i="10"/>
  <c r="Q36" i="10"/>
  <c r="Q37" i="10"/>
  <c r="P34" i="10"/>
  <c r="P35" i="10"/>
  <c r="P36" i="10"/>
  <c r="P37" i="10"/>
  <c r="O33" i="10"/>
  <c r="O34" i="10"/>
  <c r="O36" i="10"/>
  <c r="O37" i="10"/>
  <c r="O38" i="10"/>
  <c r="O32" i="10"/>
  <c r="N33" i="10"/>
  <c r="N34" i="10"/>
  <c r="N35" i="10"/>
  <c r="N36" i="10"/>
  <c r="N37" i="10"/>
  <c r="N32" i="10"/>
  <c r="M33" i="10"/>
  <c r="M34" i="10"/>
  <c r="M35" i="10"/>
  <c r="M36" i="10"/>
  <c r="M37" i="10"/>
  <c r="M38" i="10"/>
  <c r="M32" i="10"/>
  <c r="R24" i="10"/>
  <c r="R26" i="10"/>
  <c r="R27" i="10"/>
  <c r="Q25" i="10"/>
  <c r="M22" i="10"/>
  <c r="M24" i="10"/>
  <c r="M25" i="10"/>
  <c r="M26" i="10"/>
  <c r="M27" i="10"/>
  <c r="M28" i="10"/>
  <c r="M23" i="10"/>
  <c r="P23" i="10"/>
  <c r="P24" i="10"/>
  <c r="P25" i="10"/>
  <c r="P26" i="10"/>
  <c r="P27" i="10"/>
  <c r="P28" i="10"/>
  <c r="P22" i="10"/>
  <c r="O23" i="10"/>
  <c r="O24" i="10"/>
  <c r="O25" i="10"/>
  <c r="O26" i="10"/>
  <c r="O27" i="10"/>
  <c r="O28" i="10"/>
  <c r="O22" i="10"/>
  <c r="N23" i="10"/>
  <c r="N24" i="10"/>
  <c r="N25" i="10"/>
  <c r="N26" i="10"/>
  <c r="N27" i="10"/>
  <c r="N28" i="10"/>
  <c r="N22" i="10"/>
  <c r="K23" i="10"/>
  <c r="C22" i="10"/>
  <c r="L37" i="10"/>
  <c r="K37" i="10"/>
  <c r="J37" i="10"/>
  <c r="I37" i="10"/>
  <c r="H37" i="10"/>
  <c r="G37" i="10"/>
  <c r="F37" i="10"/>
  <c r="E37" i="10"/>
  <c r="D37" i="10"/>
  <c r="C37" i="10"/>
  <c r="L36" i="10"/>
  <c r="J36" i="10"/>
  <c r="I36" i="10"/>
  <c r="H36" i="10"/>
  <c r="G36" i="10"/>
  <c r="F36" i="10"/>
  <c r="C36" i="10"/>
  <c r="L35" i="10"/>
  <c r="K35" i="10"/>
  <c r="J35" i="10"/>
  <c r="I35" i="10"/>
  <c r="H35" i="10"/>
  <c r="G35" i="10"/>
  <c r="F35" i="10"/>
  <c r="E35" i="10"/>
  <c r="D35" i="10"/>
  <c r="L34" i="10"/>
  <c r="K34" i="10"/>
  <c r="J34" i="10"/>
  <c r="I34" i="10"/>
  <c r="H34" i="10"/>
  <c r="G34" i="10"/>
  <c r="F34" i="10"/>
  <c r="E34" i="10"/>
  <c r="D34" i="10"/>
  <c r="C34" i="10"/>
  <c r="L33" i="10"/>
  <c r="J33" i="10"/>
  <c r="I33" i="10"/>
  <c r="F33" i="10"/>
  <c r="E33" i="10"/>
  <c r="D33" i="10"/>
  <c r="C33" i="10"/>
  <c r="L32" i="10"/>
  <c r="J32" i="10"/>
  <c r="I32" i="10"/>
  <c r="H32" i="10"/>
  <c r="G32" i="10"/>
  <c r="F32" i="10"/>
  <c r="E32" i="10"/>
  <c r="D32" i="10"/>
  <c r="C32" i="10"/>
  <c r="C28" i="10"/>
  <c r="L27" i="10"/>
  <c r="K27" i="10"/>
  <c r="I27" i="10"/>
  <c r="H27" i="10"/>
  <c r="G27" i="10"/>
  <c r="F27" i="10"/>
  <c r="D27" i="10"/>
  <c r="C27" i="10"/>
  <c r="L26" i="10"/>
  <c r="K26" i="10"/>
  <c r="I26" i="10"/>
  <c r="H26" i="10"/>
  <c r="G26" i="10"/>
  <c r="F26" i="10"/>
  <c r="D26" i="10"/>
  <c r="C26" i="10"/>
  <c r="L25" i="10"/>
  <c r="K25" i="10"/>
  <c r="I25" i="10"/>
  <c r="H25" i="10"/>
  <c r="G25" i="10"/>
  <c r="F25" i="10"/>
  <c r="D25" i="10"/>
  <c r="C25" i="10"/>
  <c r="C42" i="10" s="1"/>
  <c r="L24" i="10"/>
  <c r="K24" i="10"/>
  <c r="J24" i="10"/>
  <c r="I24" i="10"/>
  <c r="H24" i="10"/>
  <c r="G24" i="10"/>
  <c r="F24" i="10"/>
  <c r="C24" i="10"/>
  <c r="J23" i="10"/>
  <c r="I23" i="10"/>
  <c r="H23" i="10"/>
  <c r="F23" i="10"/>
  <c r="D23" i="10"/>
  <c r="C23" i="10"/>
  <c r="L22" i="10"/>
  <c r="K22" i="10"/>
  <c r="I22" i="10"/>
  <c r="H22" i="10"/>
  <c r="H48" i="10" s="1"/>
  <c r="G22" i="10"/>
  <c r="F22" i="10"/>
  <c r="D22" i="10"/>
  <c r="H38" i="10"/>
  <c r="F38" i="10"/>
  <c r="K36" i="10"/>
  <c r="I38" i="10"/>
  <c r="K33" i="10"/>
  <c r="H33" i="10"/>
  <c r="G33" i="10"/>
  <c r="I28" i="10"/>
  <c r="H28" i="10"/>
  <c r="D28" i="10"/>
  <c r="J26" i="10"/>
  <c r="L28" i="10"/>
  <c r="J27" i="10"/>
  <c r="E22" i="10"/>
  <c r="M29" i="2"/>
  <c r="K29" i="2"/>
  <c r="K26" i="2"/>
  <c r="J29" i="2"/>
  <c r="G23" i="2"/>
  <c r="F29" i="2"/>
  <c r="E28" i="2"/>
  <c r="D29" i="2"/>
  <c r="D28" i="2"/>
  <c r="C29" i="2"/>
  <c r="C38" i="2"/>
  <c r="P39" i="2"/>
  <c r="P36" i="2"/>
  <c r="O39" i="2"/>
  <c r="N39" i="2"/>
  <c r="N38" i="2"/>
  <c r="J38" i="2"/>
  <c r="I38" i="2"/>
  <c r="H38" i="2"/>
  <c r="E38" i="2"/>
  <c r="E36" i="2"/>
  <c r="D36" i="2"/>
  <c r="P29" i="2"/>
  <c r="Q29" i="2"/>
  <c r="R29" i="2"/>
  <c r="P28" i="2"/>
  <c r="Q28" i="2"/>
  <c r="R28" i="2"/>
  <c r="P27" i="2"/>
  <c r="Q27" i="2"/>
  <c r="R27" i="2"/>
  <c r="P26" i="2"/>
  <c r="Q26" i="2"/>
  <c r="R26" i="2"/>
  <c r="P25" i="2"/>
  <c r="Q25" i="2"/>
  <c r="R25" i="2"/>
  <c r="P24" i="2"/>
  <c r="Q24" i="2"/>
  <c r="R24" i="2"/>
  <c r="P23" i="2"/>
  <c r="Q23" i="2"/>
  <c r="R23" i="2"/>
  <c r="P22" i="2"/>
  <c r="Q22" i="2"/>
  <c r="R22" i="2"/>
  <c r="L29" i="2"/>
  <c r="I22" i="2"/>
  <c r="E29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C36" i="2"/>
  <c r="F36" i="2"/>
  <c r="G36" i="2"/>
  <c r="H36" i="2"/>
  <c r="I36" i="2"/>
  <c r="J36" i="2"/>
  <c r="K36" i="2"/>
  <c r="L36" i="2"/>
  <c r="M36" i="2"/>
  <c r="N36" i="2"/>
  <c r="O36" i="2"/>
  <c r="Q36" i="2"/>
  <c r="R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D38" i="2"/>
  <c r="F38" i="2"/>
  <c r="G38" i="2"/>
  <c r="K38" i="2"/>
  <c r="L38" i="2"/>
  <c r="M38" i="2"/>
  <c r="O38" i="2"/>
  <c r="P38" i="2"/>
  <c r="Q38" i="2"/>
  <c r="R38" i="2"/>
  <c r="C39" i="2"/>
  <c r="D39" i="2"/>
  <c r="E39" i="2"/>
  <c r="F39" i="2"/>
  <c r="G39" i="2"/>
  <c r="H39" i="2"/>
  <c r="I39" i="2"/>
  <c r="J39" i="2"/>
  <c r="K39" i="2"/>
  <c r="L39" i="2"/>
  <c r="M39" i="2"/>
  <c r="Q39" i="2"/>
  <c r="R39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C32" i="2"/>
  <c r="C23" i="2"/>
  <c r="D23" i="2"/>
  <c r="E23" i="2"/>
  <c r="F23" i="2"/>
  <c r="H23" i="2"/>
  <c r="I23" i="2"/>
  <c r="J23" i="2"/>
  <c r="K23" i="2"/>
  <c r="L23" i="2"/>
  <c r="M23" i="2"/>
  <c r="N23" i="2"/>
  <c r="O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C26" i="2"/>
  <c r="D26" i="2"/>
  <c r="E26" i="2"/>
  <c r="F26" i="2"/>
  <c r="G26" i="2"/>
  <c r="H26" i="2"/>
  <c r="I26" i="2"/>
  <c r="J26" i="2"/>
  <c r="L26" i="2"/>
  <c r="M26" i="2"/>
  <c r="N26" i="2"/>
  <c r="O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C28" i="2"/>
  <c r="F28" i="2"/>
  <c r="G28" i="2"/>
  <c r="H28" i="2"/>
  <c r="I28" i="2"/>
  <c r="J28" i="2"/>
  <c r="K28" i="2"/>
  <c r="L28" i="2"/>
  <c r="M28" i="2"/>
  <c r="N28" i="2"/>
  <c r="O28" i="2"/>
  <c r="G29" i="2"/>
  <c r="H29" i="2"/>
  <c r="I29" i="2"/>
  <c r="N29" i="2"/>
  <c r="O29" i="2"/>
  <c r="D22" i="2"/>
  <c r="E22" i="2"/>
  <c r="F22" i="2"/>
  <c r="G22" i="2"/>
  <c r="H22" i="2"/>
  <c r="J22" i="2"/>
  <c r="K22" i="2"/>
  <c r="L22" i="2"/>
  <c r="M22" i="2"/>
  <c r="N22" i="2"/>
  <c r="O22" i="2"/>
  <c r="C22" i="2"/>
  <c r="N42" i="10" l="1"/>
  <c r="H47" i="10"/>
  <c r="R35" i="10"/>
  <c r="P18" i="10"/>
  <c r="P38" i="10" s="1"/>
  <c r="P50" i="10" s="1"/>
  <c r="R18" i="10"/>
  <c r="R38" i="10" s="1"/>
  <c r="L51" i="2"/>
  <c r="P51" i="2"/>
  <c r="D51" i="2"/>
  <c r="H51" i="2"/>
  <c r="L50" i="2"/>
  <c r="D50" i="2"/>
  <c r="H50" i="2"/>
  <c r="P50" i="2"/>
  <c r="C50" i="2"/>
  <c r="R50" i="2"/>
  <c r="J50" i="2"/>
  <c r="F50" i="2"/>
  <c r="O51" i="2"/>
  <c r="K51" i="2"/>
  <c r="G51" i="2"/>
  <c r="N50" i="2"/>
  <c r="F44" i="2"/>
  <c r="C51" i="2"/>
  <c r="O50" i="2"/>
  <c r="K50" i="2"/>
  <c r="G50" i="2"/>
  <c r="R51" i="2"/>
  <c r="N51" i="2"/>
  <c r="J51" i="2"/>
  <c r="F51" i="2"/>
  <c r="N44" i="2"/>
  <c r="I48" i="2"/>
  <c r="Q51" i="2"/>
  <c r="M51" i="2"/>
  <c r="I51" i="2"/>
  <c r="E51" i="2"/>
  <c r="O42" i="2"/>
  <c r="L44" i="2"/>
  <c r="C45" i="2"/>
  <c r="Q50" i="2"/>
  <c r="M50" i="2"/>
  <c r="I50" i="2"/>
  <c r="E50" i="2"/>
  <c r="R37" i="10"/>
  <c r="Q32" i="10"/>
  <c r="C48" i="10"/>
  <c r="P41" i="10"/>
  <c r="P42" i="10"/>
  <c r="O51" i="10"/>
  <c r="P32" i="10"/>
  <c r="I48" i="10"/>
  <c r="O42" i="10"/>
  <c r="M41" i="10"/>
  <c r="G47" i="10"/>
  <c r="R22" i="10"/>
  <c r="Q22" i="10"/>
  <c r="Q28" i="10"/>
  <c r="Q47" i="10" s="1"/>
  <c r="Q24" i="10"/>
  <c r="Q27" i="10"/>
  <c r="Q23" i="10"/>
  <c r="R50" i="10"/>
  <c r="R45" i="10"/>
  <c r="R44" i="10"/>
  <c r="R51" i="10"/>
  <c r="Q50" i="10"/>
  <c r="Q45" i="10"/>
  <c r="P44" i="10"/>
  <c r="O44" i="10"/>
  <c r="O45" i="10"/>
  <c r="O50" i="10"/>
  <c r="N45" i="10"/>
  <c r="N44" i="10"/>
  <c r="N50" i="10"/>
  <c r="N51" i="10"/>
  <c r="M45" i="10"/>
  <c r="M50" i="10"/>
  <c r="M51" i="10"/>
  <c r="M44" i="10"/>
  <c r="R42" i="10"/>
  <c r="R47" i="10"/>
  <c r="Q41" i="10"/>
  <c r="N48" i="10"/>
  <c r="M48" i="10"/>
  <c r="P47" i="10"/>
  <c r="M47" i="10"/>
  <c r="N47" i="10"/>
  <c r="O47" i="10"/>
  <c r="O41" i="10"/>
  <c r="P48" i="10"/>
  <c r="O48" i="10"/>
  <c r="L48" i="10"/>
  <c r="K48" i="10"/>
  <c r="G48" i="10"/>
  <c r="D48" i="10"/>
  <c r="M42" i="10"/>
  <c r="N41" i="10"/>
  <c r="G51" i="10"/>
  <c r="K42" i="10"/>
  <c r="L45" i="10"/>
  <c r="E50" i="10"/>
  <c r="E45" i="10"/>
  <c r="F42" i="10"/>
  <c r="H42" i="10"/>
  <c r="L51" i="10"/>
  <c r="F50" i="10"/>
  <c r="F45" i="10"/>
  <c r="J45" i="10"/>
  <c r="D45" i="10"/>
  <c r="H45" i="10"/>
  <c r="F47" i="10"/>
  <c r="I47" i="10"/>
  <c r="I42" i="10"/>
  <c r="D51" i="10"/>
  <c r="H51" i="10"/>
  <c r="I50" i="10"/>
  <c r="K50" i="10"/>
  <c r="G50" i="10"/>
  <c r="J50" i="10"/>
  <c r="H50" i="10"/>
  <c r="G42" i="10"/>
  <c r="L42" i="10"/>
  <c r="I45" i="10"/>
  <c r="G45" i="10"/>
  <c r="D42" i="10"/>
  <c r="K45" i="10"/>
  <c r="J22" i="10"/>
  <c r="L23" i="10"/>
  <c r="E25" i="10"/>
  <c r="E27" i="10"/>
  <c r="C35" i="10"/>
  <c r="C45" i="10" s="1"/>
  <c r="C41" i="10"/>
  <c r="G41" i="10"/>
  <c r="K41" i="10"/>
  <c r="C44" i="10"/>
  <c r="G44" i="10"/>
  <c r="C47" i="10"/>
  <c r="K47" i="10"/>
  <c r="C50" i="10"/>
  <c r="E51" i="10"/>
  <c r="I51" i="10"/>
  <c r="J28" i="10"/>
  <c r="J47" i="10" s="1"/>
  <c r="E23" i="10"/>
  <c r="J25" i="10"/>
  <c r="D41" i="10"/>
  <c r="H41" i="10"/>
  <c r="D44" i="10"/>
  <c r="H44" i="10"/>
  <c r="L44" i="10"/>
  <c r="D47" i="10"/>
  <c r="F48" i="10"/>
  <c r="D50" i="10"/>
  <c r="L50" i="10"/>
  <c r="F51" i="10"/>
  <c r="J51" i="10"/>
  <c r="E24" i="10"/>
  <c r="E26" i="10"/>
  <c r="E28" i="10"/>
  <c r="K32" i="10"/>
  <c r="I41" i="10"/>
  <c r="E44" i="10"/>
  <c r="I44" i="10"/>
  <c r="F41" i="10"/>
  <c r="F44" i="10"/>
  <c r="J44" i="10"/>
  <c r="Q48" i="2"/>
  <c r="Q42" i="2"/>
  <c r="Q47" i="2"/>
  <c r="Q41" i="2"/>
  <c r="P42" i="2"/>
  <c r="P41" i="2"/>
  <c r="M48" i="2"/>
  <c r="L48" i="2"/>
  <c r="H48" i="2"/>
  <c r="E48" i="2"/>
  <c r="D48" i="2"/>
  <c r="M47" i="2"/>
  <c r="I47" i="2"/>
  <c r="E47" i="2"/>
  <c r="P48" i="2"/>
  <c r="C47" i="2"/>
  <c r="P47" i="2"/>
  <c r="L47" i="2"/>
  <c r="H47" i="2"/>
  <c r="D47" i="2"/>
  <c r="O48" i="2"/>
  <c r="K48" i="2"/>
  <c r="G48" i="2"/>
  <c r="C48" i="2"/>
  <c r="O47" i="2"/>
  <c r="K47" i="2"/>
  <c r="G47" i="2"/>
  <c r="R48" i="2"/>
  <c r="N48" i="2"/>
  <c r="J48" i="2"/>
  <c r="F48" i="2"/>
  <c r="J41" i="2"/>
  <c r="R47" i="2"/>
  <c r="N47" i="2"/>
  <c r="J47" i="2"/>
  <c r="F47" i="2"/>
  <c r="R45" i="2"/>
  <c r="R44" i="2"/>
  <c r="Q45" i="2"/>
  <c r="P45" i="2"/>
  <c r="P44" i="2"/>
  <c r="O45" i="2"/>
  <c r="N45" i="2"/>
  <c r="M45" i="2"/>
  <c r="L45" i="2"/>
  <c r="K45" i="2"/>
  <c r="J45" i="2"/>
  <c r="J44" i="2"/>
  <c r="I45" i="2"/>
  <c r="H45" i="2"/>
  <c r="H44" i="2"/>
  <c r="G45" i="2"/>
  <c r="F45" i="2"/>
  <c r="E45" i="2"/>
  <c r="D45" i="2"/>
  <c r="D44" i="2"/>
  <c r="C44" i="2"/>
  <c r="R42" i="2"/>
  <c r="R41" i="2"/>
  <c r="O41" i="2"/>
  <c r="N42" i="2"/>
  <c r="N41" i="2"/>
  <c r="M42" i="2"/>
  <c r="L42" i="2"/>
  <c r="L41" i="2"/>
  <c r="K42" i="2"/>
  <c r="K41" i="2"/>
  <c r="J42" i="2"/>
  <c r="I42" i="2"/>
  <c r="H41" i="2"/>
  <c r="H42" i="2"/>
  <c r="G41" i="2"/>
  <c r="D41" i="2"/>
  <c r="O44" i="2"/>
  <c r="K44" i="2"/>
  <c r="G44" i="2"/>
  <c r="Q44" i="2"/>
  <c r="M44" i="2"/>
  <c r="I44" i="2"/>
  <c r="E44" i="2"/>
  <c r="C41" i="2"/>
  <c r="E42" i="2"/>
  <c r="F42" i="2"/>
  <c r="G42" i="2"/>
  <c r="F41" i="2"/>
  <c r="M41" i="2"/>
  <c r="I41" i="2"/>
  <c r="E41" i="2"/>
  <c r="C42" i="2"/>
  <c r="D42" i="2"/>
  <c r="Q42" i="10" l="1"/>
  <c r="P45" i="10"/>
  <c r="Q44" i="10"/>
  <c r="P51" i="10"/>
  <c r="R48" i="10"/>
  <c r="R41" i="10"/>
  <c r="Q48" i="10"/>
  <c r="E48" i="10"/>
  <c r="L47" i="10"/>
  <c r="J41" i="10"/>
  <c r="J48" i="10"/>
  <c r="C51" i="10"/>
  <c r="J42" i="10"/>
  <c r="K51" i="10"/>
  <c r="K44" i="10"/>
  <c r="L41" i="10"/>
  <c r="E47" i="10"/>
  <c r="E42" i="10"/>
  <c r="E41" i="10"/>
</calcChain>
</file>

<file path=xl/sharedStrings.xml><?xml version="1.0" encoding="utf-8"?>
<sst xmlns="http://schemas.openxmlformats.org/spreadsheetml/2006/main" count="473" uniqueCount="107">
  <si>
    <t>N0-10</t>
  </si>
  <si>
    <t>N10-20</t>
  </si>
  <si>
    <t>N20-30</t>
  </si>
  <si>
    <t>N30-40</t>
  </si>
  <si>
    <t>N40-50</t>
  </si>
  <si>
    <t>N50-60</t>
  </si>
  <si>
    <t>N60-70</t>
  </si>
  <si>
    <t>N70-80</t>
  </si>
  <si>
    <t>N80-90</t>
  </si>
  <si>
    <t>N90-100</t>
  </si>
  <si>
    <t>N100-110</t>
  </si>
  <si>
    <t>N110-120</t>
  </si>
  <si>
    <t>N120-130</t>
  </si>
  <si>
    <t>FA1</t>
  </si>
  <si>
    <t>FA2</t>
  </si>
  <si>
    <t>FA3</t>
  </si>
  <si>
    <t>FA4</t>
  </si>
  <si>
    <t>FA5</t>
  </si>
  <si>
    <t>FA6</t>
  </si>
  <si>
    <t>FA7</t>
  </si>
  <si>
    <t>FA8</t>
  </si>
  <si>
    <t>S0-10</t>
  </si>
  <si>
    <t>S10-20</t>
  </si>
  <si>
    <t>S20-30</t>
  </si>
  <si>
    <t>S30-40</t>
  </si>
  <si>
    <t>S40-50</t>
  </si>
  <si>
    <t>S50-60</t>
  </si>
  <si>
    <t>S60-70</t>
  </si>
  <si>
    <t>S70-80</t>
  </si>
  <si>
    <t>S80-90</t>
  </si>
  <si>
    <t>S90-100</t>
  </si>
  <si>
    <t>S100-110</t>
  </si>
  <si>
    <t>S110-120</t>
  </si>
  <si>
    <t>S120-130</t>
  </si>
  <si>
    <t>S130-140</t>
  </si>
  <si>
    <t>S140-150</t>
  </si>
  <si>
    <t>S150-160</t>
  </si>
  <si>
    <t>In channel</t>
  </si>
  <si>
    <t>Out of channel</t>
  </si>
  <si>
    <t>N13-140</t>
  </si>
  <si>
    <t>N140-150</t>
  </si>
  <si>
    <t>N150-160</t>
  </si>
  <si>
    <t>N130-140</t>
  </si>
  <si>
    <t>Northern limb</t>
  </si>
  <si>
    <t>Southern limb</t>
  </si>
  <si>
    <t>Mud</t>
  </si>
  <si>
    <t>Sand</t>
  </si>
  <si>
    <t>FA7/8</t>
  </si>
  <si>
    <t>Compton Grange</t>
  </si>
  <si>
    <t>Distance from W-V contact (m)</t>
  </si>
  <si>
    <t>Distance to overlying Sst (m)</t>
  </si>
  <si>
    <t>Distance to underlying Sst (m)</t>
  </si>
  <si>
    <t>Thickness (m)</t>
  </si>
  <si>
    <t>MPB1</t>
  </si>
  <si>
    <t xml:space="preserve">Shippards </t>
  </si>
  <si>
    <t>MPB7</t>
  </si>
  <si>
    <t>Rough</t>
  </si>
  <si>
    <t>Bay</t>
  </si>
  <si>
    <t>SPB (1) or MPB (2) or Abandoned (3)</t>
  </si>
  <si>
    <t>Sudmoor Point</t>
  </si>
  <si>
    <t>Chine Farm</t>
  </si>
  <si>
    <t>Barnes Chine</t>
  </si>
  <si>
    <t>Barnes-Ship</t>
  </si>
  <si>
    <t>MPB8</t>
  </si>
  <si>
    <t>MPB9</t>
  </si>
  <si>
    <t>MPB10</t>
  </si>
  <si>
    <t>Grange Chine</t>
  </si>
  <si>
    <t>MPB11</t>
  </si>
  <si>
    <t>Brighstone</t>
  </si>
  <si>
    <t>Chilton Chine</t>
  </si>
  <si>
    <t>MPB14</t>
  </si>
  <si>
    <t>Brown</t>
  </si>
  <si>
    <t>N/A</t>
  </si>
  <si>
    <t>MPB Zone (inc. Field)</t>
  </si>
  <si>
    <t>All channel deposits</t>
  </si>
  <si>
    <t>MPB below SPS</t>
  </si>
  <si>
    <t xml:space="preserve">Average </t>
  </si>
  <si>
    <t>Section thickness (px)</t>
  </si>
  <si>
    <t>Section areas (px)</t>
  </si>
  <si>
    <t>Northern limb (unit thickness in px)</t>
  </si>
  <si>
    <t>Southern limb (unit thickness in px)</t>
  </si>
  <si>
    <t>Southern limb (FA %)</t>
  </si>
  <si>
    <t>Northern limb (FA %)</t>
  </si>
  <si>
    <t>S90-100%</t>
  </si>
  <si>
    <t>S80-90%</t>
  </si>
  <si>
    <t>S70-80%</t>
  </si>
  <si>
    <t>S60-70%</t>
  </si>
  <si>
    <t>S50-60%</t>
  </si>
  <si>
    <t>S40-50%</t>
  </si>
  <si>
    <t>S30-40%</t>
  </si>
  <si>
    <t>S20-30%</t>
  </si>
  <si>
    <t>S10-20%</t>
  </si>
  <si>
    <t>S0-10%</t>
  </si>
  <si>
    <t>N90-100%</t>
  </si>
  <si>
    <t>N80-90%</t>
  </si>
  <si>
    <t>N70-80%</t>
  </si>
  <si>
    <t>N60-70%</t>
  </si>
  <si>
    <t>N50-60%</t>
  </si>
  <si>
    <t>N40-50%</t>
  </si>
  <si>
    <t>N30-40%</t>
  </si>
  <si>
    <t>N20-30%</t>
  </si>
  <si>
    <t>N10-20%</t>
  </si>
  <si>
    <t>N0-10%</t>
  </si>
  <si>
    <t>Section thickness</t>
  </si>
  <si>
    <t>Section areas</t>
  </si>
  <si>
    <t>Abandoned below Churchill Chine Sst</t>
  </si>
  <si>
    <t>Entirely FA7/8, exact area therefore not needed for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</si>
</sst>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</cellStyleXfs>
  <cellXfs count="20">
    <xf numFmtId="0" fontId="0" fillId="0" borderId="0" xfId="0"/>
    <xf numFmtId="1" fontId="0" fillId="0" borderId="0" xfId="0" applyNumberFormat="1"/>
    <xf numFmtId="0" fontId="3" fillId="2" borderId="0" xfId="1"/>
    <xf numFmtId="0" fontId="2" fillId="3" borderId="0" xfId="2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2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4" borderId="0" xfId="3"/>
  </cellXfs>
  <cellStyles count="4">
    <cellStyle name="20% - Accent1" xfId="2" builtinId="30"/>
    <cellStyle name="Bad" xfId="3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595CE5"/>
      <color rgb="FFC6C7F6"/>
      <color rgb="FF8486EC"/>
      <color rgb="FFE5F513"/>
      <color rgb="FFF2FA8A"/>
      <color rgb="FFF747EF"/>
      <color rgb="FFFCBA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7C33-6AC7-48B0-B268-49E627EE922A}">
  <dimension ref="A1:G30"/>
  <sheetViews>
    <sheetView zoomScale="70" zoomScaleNormal="70" workbookViewId="0">
      <selection activeCell="Q25" sqref="Q25"/>
    </sheetView>
  </sheetViews>
  <sheetFormatPr defaultRowHeight="15" x14ac:dyDescent="0.25"/>
  <cols>
    <col min="1" max="1" width="20" bestFit="1" customWidth="1"/>
    <col min="2" max="2" width="16.7109375" bestFit="1" customWidth="1"/>
    <col min="3" max="3" width="28.42578125" bestFit="1" customWidth="1"/>
    <col min="4" max="4" width="13.5703125" bestFit="1" customWidth="1"/>
    <col min="5" max="5" width="26.28515625" bestFit="1" customWidth="1"/>
    <col min="6" max="6" width="27.7109375" bestFit="1" customWidth="1"/>
    <col min="9" max="9" width="15.85546875" bestFit="1" customWidth="1"/>
    <col min="10" max="10" width="8" customWidth="1"/>
    <col min="11" max="11" width="15.140625" customWidth="1"/>
    <col min="12" max="12" width="13.5703125" bestFit="1" customWidth="1"/>
  </cols>
  <sheetData>
    <row r="1" spans="1:7" x14ac:dyDescent="0.25">
      <c r="A1" t="s">
        <v>74</v>
      </c>
    </row>
    <row r="3" spans="1:7" x14ac:dyDescent="0.25">
      <c r="A3" t="s">
        <v>43</v>
      </c>
      <c r="B3" t="s">
        <v>58</v>
      </c>
      <c r="C3" t="s">
        <v>49</v>
      </c>
      <c r="D3" s="2" t="s">
        <v>52</v>
      </c>
      <c r="E3" t="s">
        <v>50</v>
      </c>
      <c r="F3" t="s">
        <v>51</v>
      </c>
      <c r="G3" s="3" t="s">
        <v>76</v>
      </c>
    </row>
    <row r="4" spans="1:7" x14ac:dyDescent="0.25">
      <c r="D4" s="2"/>
      <c r="G4" s="3"/>
    </row>
    <row r="5" spans="1:7" x14ac:dyDescent="0.25">
      <c r="A5" t="s">
        <v>48</v>
      </c>
      <c r="B5">
        <v>1</v>
      </c>
      <c r="C5">
        <v>21</v>
      </c>
      <c r="D5" s="2">
        <v>1.5</v>
      </c>
      <c r="E5" t="s">
        <v>72</v>
      </c>
      <c r="F5">
        <f>C6-(C5+D5)</f>
        <v>14.5</v>
      </c>
      <c r="G5" s="3" t="s">
        <v>72</v>
      </c>
    </row>
    <row r="6" spans="1:7" x14ac:dyDescent="0.25">
      <c r="A6" t="s">
        <v>53</v>
      </c>
      <c r="B6">
        <v>2</v>
      </c>
      <c r="C6">
        <v>37</v>
      </c>
      <c r="D6" s="2">
        <v>4</v>
      </c>
      <c r="E6">
        <f>C6-(C5+D5)</f>
        <v>14.5</v>
      </c>
      <c r="F6">
        <f t="shared" ref="F6:F12" si="0">C7-(C6+D6)</f>
        <v>0</v>
      </c>
      <c r="G6" s="3">
        <f>(E6+F6)/2</f>
        <v>7.25</v>
      </c>
    </row>
    <row r="7" spans="1:7" x14ac:dyDescent="0.25">
      <c r="A7" t="s">
        <v>54</v>
      </c>
      <c r="B7">
        <v>1</v>
      </c>
      <c r="C7">
        <v>41</v>
      </c>
      <c r="D7" s="2">
        <v>4</v>
      </c>
      <c r="E7">
        <f t="shared" ref="E7:E13" si="1">C7-(C6+D6)</f>
        <v>0</v>
      </c>
      <c r="F7">
        <f t="shared" si="0"/>
        <v>4</v>
      </c>
      <c r="G7" s="3">
        <f t="shared" ref="G7:G12" si="2">(E7+F7)/2</f>
        <v>2</v>
      </c>
    </row>
    <row r="8" spans="1:7" x14ac:dyDescent="0.25">
      <c r="A8" t="s">
        <v>73</v>
      </c>
      <c r="B8">
        <v>2</v>
      </c>
      <c r="C8">
        <v>49</v>
      </c>
      <c r="D8" s="2">
        <v>7.5</v>
      </c>
      <c r="E8">
        <f t="shared" si="1"/>
        <v>4</v>
      </c>
      <c r="F8">
        <f t="shared" si="0"/>
        <v>3.5</v>
      </c>
      <c r="G8" s="3">
        <f t="shared" si="2"/>
        <v>3.75</v>
      </c>
    </row>
    <row r="9" spans="1:7" x14ac:dyDescent="0.25">
      <c r="A9" t="s">
        <v>56</v>
      </c>
      <c r="B9">
        <v>1</v>
      </c>
      <c r="C9">
        <v>60</v>
      </c>
      <c r="D9" s="2">
        <v>3</v>
      </c>
      <c r="E9">
        <f t="shared" si="1"/>
        <v>3.5</v>
      </c>
      <c r="F9">
        <f t="shared" si="0"/>
        <v>1</v>
      </c>
      <c r="G9" s="3">
        <f t="shared" si="2"/>
        <v>2.25</v>
      </c>
    </row>
    <row r="10" spans="1:7" x14ac:dyDescent="0.25">
      <c r="A10" t="s">
        <v>71</v>
      </c>
      <c r="B10">
        <v>2</v>
      </c>
      <c r="C10">
        <v>64</v>
      </c>
      <c r="D10" s="2">
        <v>3</v>
      </c>
      <c r="E10">
        <f t="shared" si="1"/>
        <v>1</v>
      </c>
      <c r="F10">
        <f t="shared" si="0"/>
        <v>14</v>
      </c>
      <c r="G10" s="3">
        <f t="shared" si="2"/>
        <v>7.5</v>
      </c>
    </row>
    <row r="11" spans="1:7" x14ac:dyDescent="0.25">
      <c r="A11" t="s">
        <v>105</v>
      </c>
      <c r="B11">
        <v>3</v>
      </c>
      <c r="C11">
        <v>81</v>
      </c>
      <c r="D11" s="2">
        <v>3</v>
      </c>
      <c r="E11">
        <f t="shared" si="1"/>
        <v>14</v>
      </c>
      <c r="F11">
        <f t="shared" si="0"/>
        <v>3.5</v>
      </c>
      <c r="G11" s="3">
        <f t="shared" si="2"/>
        <v>8.75</v>
      </c>
    </row>
    <row r="12" spans="1:7" x14ac:dyDescent="0.25">
      <c r="A12" t="s">
        <v>57</v>
      </c>
      <c r="B12">
        <v>2</v>
      </c>
      <c r="C12">
        <v>87.5</v>
      </c>
      <c r="D12" s="2">
        <v>2.5</v>
      </c>
      <c r="E12">
        <f t="shared" si="1"/>
        <v>3.5</v>
      </c>
      <c r="F12">
        <f t="shared" si="0"/>
        <v>59</v>
      </c>
      <c r="G12" s="3">
        <f t="shared" si="2"/>
        <v>31.25</v>
      </c>
    </row>
    <row r="13" spans="1:7" x14ac:dyDescent="0.25">
      <c r="A13" t="s">
        <v>59</v>
      </c>
      <c r="B13">
        <v>1</v>
      </c>
      <c r="C13">
        <v>149</v>
      </c>
      <c r="D13" s="2">
        <v>7.11</v>
      </c>
      <c r="E13">
        <f t="shared" si="1"/>
        <v>59</v>
      </c>
      <c r="F13">
        <v>0</v>
      </c>
      <c r="G13" s="3">
        <f>(E13+F13)/2</f>
        <v>29.5</v>
      </c>
    </row>
    <row r="14" spans="1:7" x14ac:dyDescent="0.25">
      <c r="A14" t="s">
        <v>75</v>
      </c>
      <c r="B14">
        <v>2</v>
      </c>
      <c r="C14">
        <v>156</v>
      </c>
      <c r="D14" s="2">
        <v>2</v>
      </c>
      <c r="E14">
        <v>0</v>
      </c>
      <c r="F14" t="s">
        <v>72</v>
      </c>
      <c r="G14" s="3" t="s">
        <v>72</v>
      </c>
    </row>
    <row r="15" spans="1:7" x14ac:dyDescent="0.25">
      <c r="D15" s="2"/>
      <c r="G15" s="3"/>
    </row>
    <row r="16" spans="1:7" x14ac:dyDescent="0.25">
      <c r="A16" t="s">
        <v>44</v>
      </c>
      <c r="D16" s="2"/>
      <c r="G16" s="3"/>
    </row>
    <row r="17" spans="1:7" x14ac:dyDescent="0.25">
      <c r="D17" s="2"/>
      <c r="G17" s="3"/>
    </row>
    <row r="18" spans="1:7" x14ac:dyDescent="0.25">
      <c r="A18" t="s">
        <v>60</v>
      </c>
      <c r="B18">
        <v>1</v>
      </c>
      <c r="C18">
        <v>12</v>
      </c>
      <c r="D18" s="2">
        <v>5</v>
      </c>
      <c r="E18" t="s">
        <v>72</v>
      </c>
      <c r="F18">
        <f t="shared" ref="F18:F23" si="3">C19-(C18+D18)</f>
        <v>24</v>
      </c>
      <c r="G18" s="3" t="s">
        <v>72</v>
      </c>
    </row>
    <row r="19" spans="1:7" x14ac:dyDescent="0.25">
      <c r="A19" t="s">
        <v>61</v>
      </c>
      <c r="B19">
        <v>1</v>
      </c>
      <c r="C19">
        <v>41</v>
      </c>
      <c r="D19" s="2">
        <v>4.5</v>
      </c>
      <c r="E19">
        <f t="shared" ref="E19:E24" si="4">C19-(C18+D18)</f>
        <v>24</v>
      </c>
      <c r="F19">
        <f t="shared" si="3"/>
        <v>5</v>
      </c>
      <c r="G19" s="3">
        <f t="shared" ref="G19:G29" si="5">(E19+F19)/2</f>
        <v>14.5</v>
      </c>
    </row>
    <row r="20" spans="1:7" x14ac:dyDescent="0.25">
      <c r="A20" t="s">
        <v>55</v>
      </c>
      <c r="B20">
        <v>2</v>
      </c>
      <c r="C20">
        <v>50.5</v>
      </c>
      <c r="D20" s="2">
        <v>4</v>
      </c>
      <c r="E20">
        <f t="shared" si="4"/>
        <v>5</v>
      </c>
      <c r="F20">
        <f t="shared" si="3"/>
        <v>5.5</v>
      </c>
      <c r="G20" s="3">
        <f t="shared" si="5"/>
        <v>5.25</v>
      </c>
    </row>
    <row r="21" spans="1:7" x14ac:dyDescent="0.25">
      <c r="A21" t="s">
        <v>62</v>
      </c>
      <c r="B21">
        <v>1</v>
      </c>
      <c r="C21">
        <v>60</v>
      </c>
      <c r="D21" s="2">
        <v>2</v>
      </c>
      <c r="E21">
        <f t="shared" si="4"/>
        <v>5.5</v>
      </c>
      <c r="F21">
        <f t="shared" si="3"/>
        <v>2</v>
      </c>
      <c r="G21" s="3">
        <f t="shared" si="5"/>
        <v>3.75</v>
      </c>
    </row>
    <row r="22" spans="1:7" x14ac:dyDescent="0.25">
      <c r="A22" t="s">
        <v>63</v>
      </c>
      <c r="B22">
        <v>2</v>
      </c>
      <c r="C22">
        <v>64</v>
      </c>
      <c r="D22" s="2">
        <v>4</v>
      </c>
      <c r="E22">
        <f t="shared" si="4"/>
        <v>2</v>
      </c>
      <c r="F22">
        <f t="shared" si="3"/>
        <v>11.5</v>
      </c>
      <c r="G22" s="3">
        <f t="shared" si="5"/>
        <v>6.75</v>
      </c>
    </row>
    <row r="23" spans="1:7" x14ac:dyDescent="0.25">
      <c r="A23" t="s">
        <v>64</v>
      </c>
      <c r="B23">
        <v>2</v>
      </c>
      <c r="C23">
        <v>79.5</v>
      </c>
      <c r="D23" s="2">
        <v>2.5</v>
      </c>
      <c r="E23">
        <f t="shared" si="4"/>
        <v>11.5</v>
      </c>
      <c r="F23">
        <f t="shared" si="3"/>
        <v>16</v>
      </c>
      <c r="G23" s="3">
        <f t="shared" si="5"/>
        <v>13.75</v>
      </c>
    </row>
    <row r="24" spans="1:7" x14ac:dyDescent="0.25">
      <c r="A24" t="s">
        <v>65</v>
      </c>
      <c r="B24">
        <v>2</v>
      </c>
      <c r="C24">
        <v>98</v>
      </c>
      <c r="D24" s="2">
        <v>2</v>
      </c>
      <c r="E24">
        <f t="shared" si="4"/>
        <v>16</v>
      </c>
      <c r="F24">
        <v>0</v>
      </c>
      <c r="G24" s="3">
        <f t="shared" si="5"/>
        <v>8</v>
      </c>
    </row>
    <row r="25" spans="1:7" x14ac:dyDescent="0.25">
      <c r="A25" t="s">
        <v>66</v>
      </c>
      <c r="B25">
        <v>1</v>
      </c>
      <c r="C25">
        <v>99</v>
      </c>
      <c r="D25" s="2">
        <v>1.5</v>
      </c>
      <c r="E25">
        <v>0</v>
      </c>
      <c r="F25">
        <f>C26-(C25+D25)</f>
        <v>16</v>
      </c>
      <c r="G25" s="3">
        <f t="shared" si="5"/>
        <v>8</v>
      </c>
    </row>
    <row r="26" spans="1:7" x14ac:dyDescent="0.25">
      <c r="A26" t="s">
        <v>67</v>
      </c>
      <c r="B26">
        <v>2</v>
      </c>
      <c r="C26">
        <v>116.5</v>
      </c>
      <c r="D26" s="2">
        <v>3</v>
      </c>
      <c r="E26">
        <f>C26-(C25+D25)</f>
        <v>16</v>
      </c>
      <c r="F26">
        <f>C27-(C26+D26)</f>
        <v>4.5</v>
      </c>
      <c r="G26" s="3">
        <f t="shared" si="5"/>
        <v>10.25</v>
      </c>
    </row>
    <row r="27" spans="1:7" x14ac:dyDescent="0.25">
      <c r="A27" t="s">
        <v>68</v>
      </c>
      <c r="B27">
        <v>1</v>
      </c>
      <c r="C27">
        <v>124</v>
      </c>
      <c r="D27" s="2">
        <v>4</v>
      </c>
      <c r="E27">
        <f>C27-(C26+D26)</f>
        <v>4.5</v>
      </c>
      <c r="F27">
        <f t="shared" ref="F27:F29" si="6">C28-(C27+D27)</f>
        <v>10</v>
      </c>
      <c r="G27" s="3">
        <f t="shared" si="5"/>
        <v>7.25</v>
      </c>
    </row>
    <row r="28" spans="1:7" x14ac:dyDescent="0.25">
      <c r="A28" t="s">
        <v>69</v>
      </c>
      <c r="B28">
        <v>1</v>
      </c>
      <c r="C28">
        <v>138</v>
      </c>
      <c r="D28" s="2">
        <v>2</v>
      </c>
      <c r="E28">
        <f t="shared" ref="E28:E30" si="7">C28-(C27+D27)</f>
        <v>10</v>
      </c>
      <c r="F28">
        <f t="shared" si="6"/>
        <v>9</v>
      </c>
      <c r="G28" s="3">
        <f t="shared" si="5"/>
        <v>9.5</v>
      </c>
    </row>
    <row r="29" spans="1:7" x14ac:dyDescent="0.25">
      <c r="A29" t="s">
        <v>59</v>
      </c>
      <c r="B29">
        <v>1</v>
      </c>
      <c r="C29">
        <v>149</v>
      </c>
      <c r="D29" s="2">
        <v>7.4</v>
      </c>
      <c r="E29">
        <f t="shared" si="7"/>
        <v>9</v>
      </c>
      <c r="F29">
        <f t="shared" si="6"/>
        <v>1.5999999999999943</v>
      </c>
      <c r="G29" s="3">
        <f t="shared" si="5"/>
        <v>5.2999999999999972</v>
      </c>
    </row>
    <row r="30" spans="1:7" x14ac:dyDescent="0.25">
      <c r="A30" t="s">
        <v>70</v>
      </c>
      <c r="B30">
        <v>2</v>
      </c>
      <c r="C30">
        <v>158</v>
      </c>
      <c r="D30" s="2">
        <v>2</v>
      </c>
      <c r="E30">
        <f t="shared" si="7"/>
        <v>1.5999999999999943</v>
      </c>
      <c r="F30" t="s">
        <v>72</v>
      </c>
      <c r="G30" s="14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71E2-B22C-47A7-AE6F-42BB3E571C07}">
  <dimension ref="A1:AL66"/>
  <sheetViews>
    <sheetView zoomScale="80" zoomScaleNormal="80" workbookViewId="0">
      <selection activeCell="U2" sqref="U2"/>
    </sheetView>
  </sheetViews>
  <sheetFormatPr defaultRowHeight="15" x14ac:dyDescent="0.25"/>
  <cols>
    <col min="2" max="2" width="9.5703125" bestFit="1" customWidth="1"/>
    <col min="3" max="3" width="9.28515625" bestFit="1" customWidth="1"/>
    <col min="4" max="5" width="9.5703125" bestFit="1" customWidth="1"/>
    <col min="6" max="6" width="9.28515625" bestFit="1" customWidth="1"/>
    <col min="7" max="7" width="9.5703125" bestFit="1" customWidth="1"/>
    <col min="8" max="9" width="9.28515625" bestFit="1" customWidth="1"/>
    <col min="10" max="15" width="9.5703125" bestFit="1" customWidth="1"/>
    <col min="16" max="17" width="9.28515625" bestFit="1" customWidth="1"/>
    <col min="18" max="18" width="9.5703125" bestFit="1" customWidth="1"/>
  </cols>
  <sheetData>
    <row r="1" spans="1:38" x14ac:dyDescent="0.25">
      <c r="A1" t="s">
        <v>79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39</v>
      </c>
      <c r="Q1" t="s">
        <v>40</v>
      </c>
      <c r="R1" t="s">
        <v>41</v>
      </c>
      <c r="T1" s="4" t="s">
        <v>77</v>
      </c>
      <c r="U1" s="5">
        <v>6.4749999999999996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B2" t="s">
        <v>13</v>
      </c>
      <c r="C2">
        <v>0</v>
      </c>
      <c r="D2">
        <v>0</v>
      </c>
      <c r="E2">
        <v>0.97799999999999998</v>
      </c>
      <c r="F2">
        <v>0</v>
      </c>
      <c r="G2">
        <v>2.8079999999999998</v>
      </c>
      <c r="H2">
        <v>1.401</v>
      </c>
      <c r="I2">
        <v>1.921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3.581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25">
      <c r="B3" t="s">
        <v>14</v>
      </c>
      <c r="C3">
        <v>0</v>
      </c>
      <c r="D3">
        <v>0</v>
      </c>
      <c r="E3">
        <v>0</v>
      </c>
      <c r="F3">
        <v>1.8140000000000001</v>
      </c>
      <c r="G3">
        <f>0.648+0.511</f>
        <v>1.159</v>
      </c>
      <c r="H3">
        <v>3.2469999999999999</v>
      </c>
      <c r="I3">
        <v>2.0859999999999999</v>
      </c>
      <c r="J3">
        <v>0</v>
      </c>
      <c r="K3">
        <v>0.97699999999999998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1.1879999999999999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B4" t="s">
        <v>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1.2010000000000001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B5" t="s">
        <v>16</v>
      </c>
      <c r="C5">
        <v>0</v>
      </c>
      <c r="D5">
        <v>0.94899999999999995</v>
      </c>
      <c r="E5">
        <v>0</v>
      </c>
      <c r="F5">
        <v>0</v>
      </c>
      <c r="G5">
        <v>0</v>
      </c>
      <c r="H5">
        <v>0</v>
      </c>
      <c r="I5">
        <f>6.475-(I2+I3+I8+I9)</f>
        <v>0.3019999999999996</v>
      </c>
      <c r="J5">
        <f>0.463+0.259</f>
        <v>0.72199999999999998</v>
      </c>
      <c r="K5">
        <v>0</v>
      </c>
      <c r="L5">
        <v>0</v>
      </c>
      <c r="M5">
        <v>0.42399999999999999</v>
      </c>
      <c r="N5">
        <v>0</v>
      </c>
      <c r="O5">
        <v>0</v>
      </c>
      <c r="P5">
        <v>0</v>
      </c>
      <c r="Q5">
        <v>0.59799999999999998</v>
      </c>
      <c r="R5">
        <v>0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B6" t="s">
        <v>17</v>
      </c>
      <c r="C6">
        <v>0</v>
      </c>
      <c r="D6">
        <v>0</v>
      </c>
      <c r="E6">
        <v>0.25800000000000001</v>
      </c>
      <c r="F6">
        <v>0</v>
      </c>
      <c r="G6">
        <v>0</v>
      </c>
      <c r="H6">
        <v>0</v>
      </c>
      <c r="I6">
        <v>0</v>
      </c>
      <c r="J6">
        <v>0.35299999999999998</v>
      </c>
      <c r="K6">
        <f>0.229+0.265</f>
        <v>0.49399999999999999</v>
      </c>
      <c r="L6">
        <v>0</v>
      </c>
      <c r="M6">
        <v>0</v>
      </c>
      <c r="N6">
        <v>0</v>
      </c>
      <c r="O6">
        <v>0</v>
      </c>
      <c r="P6">
        <v>0</v>
      </c>
      <c r="Q6">
        <f>0.25+0.439</f>
        <v>0.68900000000000006</v>
      </c>
      <c r="R6">
        <v>0</v>
      </c>
    </row>
    <row r="7" spans="1:38" x14ac:dyDescent="0.25">
      <c r="B7" t="s">
        <v>18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0.45</v>
      </c>
      <c r="K7">
        <v>0.53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W7" s="1"/>
      <c r="X7" s="1"/>
      <c r="Y7" s="1"/>
      <c r="Z7" s="1"/>
    </row>
    <row r="8" spans="1:38" x14ac:dyDescent="0.25">
      <c r="B8" t="s">
        <v>19</v>
      </c>
      <c r="C8">
        <f>6.475-C9</f>
        <v>5.0589999999999993</v>
      </c>
      <c r="D8">
        <f>6.475-(D5+D9)</f>
        <v>2.7889999999999997</v>
      </c>
      <c r="E8">
        <v>0</v>
      </c>
      <c r="F8">
        <v>0.17100000000000001</v>
      </c>
      <c r="G8">
        <v>0</v>
      </c>
      <c r="H8">
        <v>0</v>
      </c>
      <c r="I8">
        <v>1.343</v>
      </c>
      <c r="J8">
        <v>2.13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f>6.475-(R2+R3)</f>
        <v>1.7059999999999995</v>
      </c>
      <c r="W8" s="1"/>
      <c r="X8" s="1"/>
      <c r="Y8" s="1"/>
      <c r="Z8" s="1"/>
    </row>
    <row r="9" spans="1:38" x14ac:dyDescent="0.25">
      <c r="B9" t="s">
        <v>20</v>
      </c>
      <c r="C9">
        <f>0.558+0.858</f>
        <v>1.4159999999999999</v>
      </c>
      <c r="D9">
        <f>1.561+1.176</f>
        <v>2.7370000000000001</v>
      </c>
      <c r="E9">
        <f>6.475-(E2+E6)</f>
        <v>5.2389999999999999</v>
      </c>
      <c r="F9">
        <f>6.475-(F3+F8)</f>
        <v>4.4899999999999993</v>
      </c>
      <c r="G9">
        <f>6.475-(G2+G3)</f>
        <v>2.508</v>
      </c>
      <c r="H9">
        <f>6.475-(H2+H3)</f>
        <v>1.827</v>
      </c>
      <c r="I9">
        <v>0.82299999999999995</v>
      </c>
      <c r="J9">
        <f>6.475-(J5+J6+J7+J8)</f>
        <v>2.82</v>
      </c>
      <c r="K9">
        <f>6.475-(SUM(K2:K8))</f>
        <v>3.2729999999999997</v>
      </c>
      <c r="L9">
        <v>6.4749999999999996</v>
      </c>
      <c r="M9">
        <f>6.475-M5</f>
        <v>6.0509999999999993</v>
      </c>
      <c r="N9">
        <v>6.4749999999999996</v>
      </c>
      <c r="O9">
        <v>6.4749999999999996</v>
      </c>
      <c r="P9">
        <v>6.4749999999999996</v>
      </c>
      <c r="Q9">
        <f>6.475-(Q5+Q6)</f>
        <v>5.1879999999999997</v>
      </c>
      <c r="R9">
        <v>0</v>
      </c>
    </row>
    <row r="11" spans="1:38" x14ac:dyDescent="0.25">
      <c r="A11" t="s">
        <v>80</v>
      </c>
      <c r="C11" t="s">
        <v>21</v>
      </c>
      <c r="D11" t="s">
        <v>22</v>
      </c>
      <c r="E11" t="s">
        <v>23</v>
      </c>
      <c r="F11" t="s">
        <v>24</v>
      </c>
      <c r="G11" t="s">
        <v>25</v>
      </c>
      <c r="H11" t="s">
        <v>26</v>
      </c>
      <c r="I11" t="s">
        <v>27</v>
      </c>
      <c r="J11" t="s">
        <v>28</v>
      </c>
      <c r="K11" t="s">
        <v>29</v>
      </c>
      <c r="L11" t="s">
        <v>30</v>
      </c>
      <c r="M11" t="s">
        <v>31</v>
      </c>
      <c r="N11" t="s">
        <v>32</v>
      </c>
      <c r="O11" t="s">
        <v>33</v>
      </c>
      <c r="P11" t="s">
        <v>34</v>
      </c>
      <c r="Q11" t="s">
        <v>35</v>
      </c>
      <c r="R11" t="s">
        <v>36</v>
      </c>
    </row>
    <row r="12" spans="1:38" x14ac:dyDescent="0.25">
      <c r="B12" t="s">
        <v>13</v>
      </c>
      <c r="C12">
        <v>0</v>
      </c>
      <c r="D12">
        <v>2.9790000000000001</v>
      </c>
      <c r="E12">
        <v>0</v>
      </c>
      <c r="F12">
        <v>0</v>
      </c>
      <c r="G12">
        <v>2.9790000000000001</v>
      </c>
      <c r="H12">
        <v>0</v>
      </c>
      <c r="I12">
        <v>1.2509999999999999</v>
      </c>
      <c r="J12">
        <v>0</v>
      </c>
      <c r="K12">
        <v>0</v>
      </c>
      <c r="L12">
        <v>0.72799999999999998</v>
      </c>
      <c r="M12">
        <v>0.34300000000000003</v>
      </c>
      <c r="N12">
        <v>0</v>
      </c>
      <c r="O12">
        <v>2.3759999999999999</v>
      </c>
      <c r="P12">
        <v>1.3520000000000001</v>
      </c>
      <c r="Q12">
        <v>0.60299999999999998</v>
      </c>
      <c r="R12">
        <v>2.7010000000000001</v>
      </c>
    </row>
    <row r="13" spans="1:38" x14ac:dyDescent="0.25">
      <c r="B13" t="s">
        <v>14</v>
      </c>
      <c r="C13">
        <v>0</v>
      </c>
      <c r="D13">
        <v>0</v>
      </c>
      <c r="E13">
        <v>0</v>
      </c>
      <c r="F13">
        <v>0</v>
      </c>
      <c r="G13">
        <v>0</v>
      </c>
      <c r="H13">
        <v>2.5819999999999999</v>
      </c>
      <c r="I13">
        <v>2.4169999999999998</v>
      </c>
      <c r="J13">
        <v>0.4</v>
      </c>
      <c r="K13">
        <v>1.2330000000000001</v>
      </c>
      <c r="L13">
        <v>0.43</v>
      </c>
      <c r="M13">
        <v>0</v>
      </c>
      <c r="N13">
        <v>1.881</v>
      </c>
      <c r="O13">
        <v>0</v>
      </c>
      <c r="P13">
        <v>0</v>
      </c>
      <c r="Q13">
        <v>0</v>
      </c>
      <c r="R13">
        <v>2.2789999999999999</v>
      </c>
    </row>
    <row r="14" spans="1:38" x14ac:dyDescent="0.25">
      <c r="B14" t="s">
        <v>15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0.92</v>
      </c>
      <c r="R14">
        <v>0</v>
      </c>
    </row>
    <row r="15" spans="1:38" x14ac:dyDescent="0.25">
      <c r="B15" t="s">
        <v>16</v>
      </c>
      <c r="C15">
        <v>1.2589999999999999</v>
      </c>
      <c r="D15">
        <v>0</v>
      </c>
      <c r="E15">
        <v>0</v>
      </c>
      <c r="F15">
        <v>0</v>
      </c>
      <c r="G15">
        <v>0</v>
      </c>
      <c r="I15">
        <v>0</v>
      </c>
      <c r="J15">
        <v>0</v>
      </c>
      <c r="K15">
        <v>0</v>
      </c>
      <c r="L15">
        <v>0.43</v>
      </c>
      <c r="M15">
        <v>0</v>
      </c>
      <c r="N15">
        <v>0</v>
      </c>
      <c r="O15">
        <v>0</v>
      </c>
      <c r="P15">
        <v>0.502</v>
      </c>
      <c r="Q15">
        <v>0</v>
      </c>
      <c r="R15">
        <v>0</v>
      </c>
    </row>
    <row r="16" spans="1:38" x14ac:dyDescent="0.25">
      <c r="B16" t="s">
        <v>17</v>
      </c>
      <c r="C16">
        <v>0</v>
      </c>
      <c r="D16">
        <f>1.037+0.157</f>
        <v>1.194</v>
      </c>
      <c r="E16">
        <f>0.588+0.679</f>
        <v>1.2669999999999999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1.073</v>
      </c>
      <c r="M16">
        <v>0</v>
      </c>
      <c r="N16">
        <v>1.446</v>
      </c>
      <c r="O16">
        <v>0.45300000000000001</v>
      </c>
      <c r="P16">
        <v>0.45300000000000001</v>
      </c>
      <c r="Q16">
        <f>0.453+0.404</f>
        <v>0.85699999999999998</v>
      </c>
      <c r="R16">
        <v>0</v>
      </c>
    </row>
    <row r="17" spans="1:36" x14ac:dyDescent="0.25">
      <c r="B17" t="s">
        <v>18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1.0569999999999999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B18" t="s">
        <v>19</v>
      </c>
      <c r="C18">
        <v>4.4569999999999999</v>
      </c>
      <c r="D18">
        <f>6.475-(SUM(D12:D16))</f>
        <v>2.3019999999999996</v>
      </c>
      <c r="E18">
        <f>6.475-E16</f>
        <v>5.2080000000000002</v>
      </c>
      <c r="F18">
        <v>0.44600000000000001</v>
      </c>
      <c r="G18">
        <v>2.95</v>
      </c>
      <c r="H18">
        <f>6.475-H13</f>
        <v>3.8929999999999998</v>
      </c>
      <c r="I18">
        <f>6.475-SUM(I12:I13)</f>
        <v>2.8069999999999999</v>
      </c>
      <c r="J18">
        <f>6.475-(J13+J17+J19)</f>
        <v>4.25</v>
      </c>
      <c r="K18">
        <v>3.4350000000000001</v>
      </c>
      <c r="L18">
        <v>3.4729999999999999</v>
      </c>
      <c r="M18">
        <v>1.2729999999999999</v>
      </c>
      <c r="N18">
        <f>1.538+0.601</f>
        <v>2.1390000000000002</v>
      </c>
      <c r="O18">
        <v>0</v>
      </c>
      <c r="P18">
        <v>0</v>
      </c>
      <c r="Q18">
        <v>0</v>
      </c>
      <c r="R18">
        <v>0.57399999999999995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B19" t="s">
        <v>20</v>
      </c>
      <c r="C19">
        <v>0.66900000000000004</v>
      </c>
      <c r="D19">
        <v>0</v>
      </c>
      <c r="E19">
        <v>0</v>
      </c>
      <c r="F19">
        <f>6.475-F18</f>
        <v>6.0289999999999999</v>
      </c>
      <c r="G19">
        <f>6.475-SUM(G12:G18)</f>
        <v>0.54599999999999937</v>
      </c>
      <c r="H19">
        <v>0</v>
      </c>
      <c r="I19">
        <v>0</v>
      </c>
      <c r="J19">
        <v>0.76800000000000002</v>
      </c>
      <c r="K19">
        <f>6.475-SUM(K13:K18)</f>
        <v>1.8069999999999995</v>
      </c>
      <c r="L19">
        <f>6.475-SUM(L12:L18)</f>
        <v>0.34100000000000019</v>
      </c>
      <c r="M19">
        <v>4.7789999999999999</v>
      </c>
      <c r="N19">
        <f>6.475-SUM(N12:N18)</f>
        <v>1.0089999999999995</v>
      </c>
      <c r="O19">
        <f>6.475-(O12+O16)</f>
        <v>3.6459999999999999</v>
      </c>
      <c r="P19">
        <f>6.475-(P12+P15+P16)</f>
        <v>4.1679999999999993</v>
      </c>
      <c r="Q19">
        <f>6.475-(SUM(Q12:Q18))</f>
        <v>4.0949999999999998</v>
      </c>
      <c r="R19">
        <f>6.475-(SUM(R12:R18))</f>
        <v>0.92099999999999937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t="s">
        <v>82</v>
      </c>
      <c r="C21" t="s">
        <v>0</v>
      </c>
      <c r="D21" t="s">
        <v>1</v>
      </c>
      <c r="E21" t="s">
        <v>2</v>
      </c>
      <c r="F21" t="s">
        <v>3</v>
      </c>
      <c r="G21" t="s">
        <v>4</v>
      </c>
      <c r="H21" t="s">
        <v>5</v>
      </c>
      <c r="I21" t="s">
        <v>6</v>
      </c>
      <c r="J21" t="s">
        <v>7</v>
      </c>
      <c r="K21" t="s">
        <v>8</v>
      </c>
      <c r="L21" t="s">
        <v>9</v>
      </c>
      <c r="M21" t="s">
        <v>10</v>
      </c>
      <c r="N21" t="s">
        <v>11</v>
      </c>
      <c r="O21" t="s">
        <v>12</v>
      </c>
      <c r="P21" t="s">
        <v>42</v>
      </c>
      <c r="Q21" t="s">
        <v>40</v>
      </c>
      <c r="R21" t="s">
        <v>41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B22" t="s">
        <v>13</v>
      </c>
      <c r="C22" s="1">
        <f t="shared" ref="C22:R22" si="0">(C2/$U$1)*100</f>
        <v>0</v>
      </c>
      <c r="D22" s="1">
        <f t="shared" si="0"/>
        <v>0</v>
      </c>
      <c r="E22" s="1">
        <f t="shared" si="0"/>
        <v>15.104247104247104</v>
      </c>
      <c r="F22" s="1">
        <f t="shared" si="0"/>
        <v>0</v>
      </c>
      <c r="G22" s="1">
        <f t="shared" si="0"/>
        <v>43.366795366795365</v>
      </c>
      <c r="H22" s="1">
        <f t="shared" si="0"/>
        <v>21.637065637065639</v>
      </c>
      <c r="I22" s="1">
        <f t="shared" si="0"/>
        <v>29.667953667953672</v>
      </c>
      <c r="J22" s="1">
        <f t="shared" si="0"/>
        <v>0</v>
      </c>
      <c r="K22" s="1">
        <f t="shared" si="0"/>
        <v>0</v>
      </c>
      <c r="L22" s="1">
        <f t="shared" si="0"/>
        <v>0</v>
      </c>
      <c r="M22" s="1">
        <f t="shared" si="0"/>
        <v>0</v>
      </c>
      <c r="N22" s="1">
        <f t="shared" si="0"/>
        <v>0</v>
      </c>
      <c r="O22" s="1">
        <f t="shared" si="0"/>
        <v>0</v>
      </c>
      <c r="P22" s="1">
        <f t="shared" si="0"/>
        <v>0</v>
      </c>
      <c r="Q22" s="1">
        <f t="shared" si="0"/>
        <v>0</v>
      </c>
      <c r="R22" s="1">
        <f t="shared" si="0"/>
        <v>55.305019305019307</v>
      </c>
    </row>
    <row r="23" spans="1:36" x14ac:dyDescent="0.25">
      <c r="B23" t="s">
        <v>14</v>
      </c>
      <c r="C23" s="1">
        <f t="shared" ref="C23:R23" si="1">(C3/$U$1)*100</f>
        <v>0</v>
      </c>
      <c r="D23" s="1">
        <f t="shared" si="1"/>
        <v>0</v>
      </c>
      <c r="E23" s="1">
        <f t="shared" si="1"/>
        <v>0</v>
      </c>
      <c r="F23" s="1">
        <f t="shared" si="1"/>
        <v>28.015444015444018</v>
      </c>
      <c r="G23" s="1">
        <f t="shared" si="1"/>
        <v>17.8996138996139</v>
      </c>
      <c r="H23" s="1">
        <f t="shared" si="1"/>
        <v>50.14671814671815</v>
      </c>
      <c r="I23" s="1">
        <f t="shared" si="1"/>
        <v>32.216216216216218</v>
      </c>
      <c r="J23" s="1">
        <f t="shared" si="1"/>
        <v>0</v>
      </c>
      <c r="K23" s="1">
        <f t="shared" si="1"/>
        <v>15.08880308880309</v>
      </c>
      <c r="L23" s="1">
        <f t="shared" si="1"/>
        <v>0</v>
      </c>
      <c r="M23" s="1">
        <f t="shared" si="1"/>
        <v>0</v>
      </c>
      <c r="N23" s="1">
        <f t="shared" si="1"/>
        <v>0</v>
      </c>
      <c r="O23" s="1">
        <f t="shared" si="1"/>
        <v>0</v>
      </c>
      <c r="P23" s="1">
        <f t="shared" si="1"/>
        <v>0</v>
      </c>
      <c r="Q23" s="1">
        <f t="shared" si="1"/>
        <v>0</v>
      </c>
      <c r="R23" s="1">
        <f t="shared" si="1"/>
        <v>18.347490347490346</v>
      </c>
    </row>
    <row r="24" spans="1:36" x14ac:dyDescent="0.25">
      <c r="B24" t="s">
        <v>15</v>
      </c>
      <c r="C24" s="1">
        <f t="shared" ref="C24:R24" si="2">(C4/$U$1)*100</f>
        <v>0</v>
      </c>
      <c r="D24" s="1">
        <f t="shared" si="2"/>
        <v>0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0</v>
      </c>
      <c r="I24" s="1">
        <f t="shared" si="2"/>
        <v>0</v>
      </c>
      <c r="J24" s="1">
        <f t="shared" si="2"/>
        <v>0</v>
      </c>
      <c r="K24" s="1">
        <f t="shared" si="2"/>
        <v>18.548262548262549</v>
      </c>
      <c r="L24" s="1">
        <f t="shared" si="2"/>
        <v>0</v>
      </c>
      <c r="M24" s="1">
        <f t="shared" si="2"/>
        <v>0</v>
      </c>
      <c r="N24" s="1">
        <f t="shared" si="2"/>
        <v>0</v>
      </c>
      <c r="O24" s="1">
        <f t="shared" si="2"/>
        <v>0</v>
      </c>
      <c r="P24" s="1">
        <f t="shared" si="2"/>
        <v>0</v>
      </c>
      <c r="Q24" s="1">
        <f t="shared" si="2"/>
        <v>0</v>
      </c>
      <c r="R24" s="1">
        <f t="shared" si="2"/>
        <v>0</v>
      </c>
    </row>
    <row r="25" spans="1:36" x14ac:dyDescent="0.25">
      <c r="B25" t="s">
        <v>16</v>
      </c>
      <c r="C25" s="1">
        <f t="shared" ref="C25:R25" si="3">(C5/$U$1)*100</f>
        <v>0</v>
      </c>
      <c r="D25" s="1">
        <f t="shared" si="3"/>
        <v>14.656370656370656</v>
      </c>
      <c r="E25" s="1">
        <f t="shared" si="3"/>
        <v>0</v>
      </c>
      <c r="F25" s="1">
        <f t="shared" si="3"/>
        <v>0</v>
      </c>
      <c r="G25" s="1">
        <f t="shared" si="3"/>
        <v>0</v>
      </c>
      <c r="H25" s="1">
        <f t="shared" si="3"/>
        <v>0</v>
      </c>
      <c r="I25" s="1">
        <f t="shared" si="3"/>
        <v>4.6640926640926583</v>
      </c>
      <c r="J25" s="1">
        <f t="shared" si="3"/>
        <v>11.150579150579151</v>
      </c>
      <c r="K25" s="1">
        <f t="shared" si="3"/>
        <v>0</v>
      </c>
      <c r="L25" s="1">
        <f t="shared" si="3"/>
        <v>0</v>
      </c>
      <c r="M25" s="1">
        <f t="shared" si="3"/>
        <v>6.5482625482625485</v>
      </c>
      <c r="N25" s="1">
        <f t="shared" si="3"/>
        <v>0</v>
      </c>
      <c r="O25" s="1">
        <f t="shared" si="3"/>
        <v>0</v>
      </c>
      <c r="P25" s="1">
        <f t="shared" si="3"/>
        <v>0</v>
      </c>
      <c r="Q25" s="1">
        <f t="shared" si="3"/>
        <v>9.2355212355212348</v>
      </c>
      <c r="R25" s="1">
        <f t="shared" si="3"/>
        <v>0</v>
      </c>
    </row>
    <row r="26" spans="1:36" x14ac:dyDescent="0.25">
      <c r="B26" t="s">
        <v>17</v>
      </c>
      <c r="C26" s="1">
        <f t="shared" ref="C26:R26" si="4">(C6/$U$1)*100</f>
        <v>0</v>
      </c>
      <c r="D26" s="1">
        <f t="shared" si="4"/>
        <v>0</v>
      </c>
      <c r="E26" s="1">
        <f t="shared" si="4"/>
        <v>3.9845559845559846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5.4517374517374515</v>
      </c>
      <c r="K26" s="1">
        <f t="shared" si="4"/>
        <v>7.6293436293436292</v>
      </c>
      <c r="L26" s="1">
        <f t="shared" si="4"/>
        <v>0</v>
      </c>
      <c r="M26" s="1">
        <f t="shared" si="4"/>
        <v>0</v>
      </c>
      <c r="N26" s="1">
        <f t="shared" si="4"/>
        <v>0</v>
      </c>
      <c r="O26" s="1">
        <f t="shared" si="4"/>
        <v>0</v>
      </c>
      <c r="P26" s="1">
        <f t="shared" si="4"/>
        <v>0</v>
      </c>
      <c r="Q26" s="1">
        <f t="shared" si="4"/>
        <v>10.640926640926644</v>
      </c>
      <c r="R26" s="1">
        <f t="shared" si="4"/>
        <v>0</v>
      </c>
    </row>
    <row r="27" spans="1:36" x14ac:dyDescent="0.25">
      <c r="B27" t="s">
        <v>18</v>
      </c>
      <c r="C27" s="1">
        <f t="shared" ref="C27:R27" si="5">(C7/$U$1)*100</f>
        <v>0</v>
      </c>
      <c r="D27" s="1">
        <f t="shared" si="5"/>
        <v>0</v>
      </c>
      <c r="E27" s="1">
        <f t="shared" si="5"/>
        <v>0</v>
      </c>
      <c r="F27" s="1">
        <f t="shared" si="5"/>
        <v>0</v>
      </c>
      <c r="G27" s="1">
        <f t="shared" si="5"/>
        <v>0</v>
      </c>
      <c r="H27" s="1">
        <f t="shared" si="5"/>
        <v>0</v>
      </c>
      <c r="I27" s="1">
        <f t="shared" si="5"/>
        <v>0</v>
      </c>
      <c r="J27" s="1">
        <f t="shared" si="5"/>
        <v>6.9498069498069501</v>
      </c>
      <c r="K27" s="1">
        <f t="shared" si="5"/>
        <v>8.1853281853281867</v>
      </c>
      <c r="L27" s="1">
        <f t="shared" si="5"/>
        <v>0</v>
      </c>
      <c r="M27" s="1">
        <f t="shared" si="5"/>
        <v>0</v>
      </c>
      <c r="N27" s="1">
        <f t="shared" si="5"/>
        <v>0</v>
      </c>
      <c r="O27" s="1">
        <f t="shared" si="5"/>
        <v>0</v>
      </c>
      <c r="P27" s="1">
        <f t="shared" si="5"/>
        <v>0</v>
      </c>
      <c r="Q27" s="1">
        <f t="shared" si="5"/>
        <v>0</v>
      </c>
      <c r="R27" s="1">
        <f t="shared" si="5"/>
        <v>0</v>
      </c>
    </row>
    <row r="28" spans="1:36" x14ac:dyDescent="0.25">
      <c r="B28" t="s">
        <v>19</v>
      </c>
      <c r="C28" s="1">
        <f t="shared" ref="C28:R28" si="6">(C8/$U$1)*100</f>
        <v>78.131274131274125</v>
      </c>
      <c r="D28" s="1">
        <f t="shared" si="6"/>
        <v>43.073359073359072</v>
      </c>
      <c r="E28" s="1">
        <f t="shared" si="6"/>
        <v>0</v>
      </c>
      <c r="F28" s="1">
        <f t="shared" si="6"/>
        <v>2.6409266409266414</v>
      </c>
      <c r="G28" s="1">
        <f t="shared" si="6"/>
        <v>0</v>
      </c>
      <c r="H28" s="1">
        <f t="shared" si="6"/>
        <v>0</v>
      </c>
      <c r="I28" s="1">
        <f t="shared" si="6"/>
        <v>20.741312741312743</v>
      </c>
      <c r="J28" s="1">
        <f t="shared" si="6"/>
        <v>32.895752895752892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si="6"/>
        <v>0</v>
      </c>
      <c r="O28" s="1">
        <f t="shared" si="6"/>
        <v>0</v>
      </c>
      <c r="P28" s="1">
        <f t="shared" si="6"/>
        <v>0</v>
      </c>
      <c r="Q28" s="1">
        <f t="shared" si="6"/>
        <v>0</v>
      </c>
      <c r="R28" s="1">
        <f t="shared" si="6"/>
        <v>26.347490347490343</v>
      </c>
    </row>
    <row r="29" spans="1:36" x14ac:dyDescent="0.25">
      <c r="B29" t="s">
        <v>20</v>
      </c>
      <c r="C29" s="1">
        <f t="shared" ref="C29:R29" si="7">(C9/$U$1)*100</f>
        <v>21.868725868725868</v>
      </c>
      <c r="D29" s="1">
        <f t="shared" si="7"/>
        <v>42.270270270270274</v>
      </c>
      <c r="E29" s="1">
        <f t="shared" si="7"/>
        <v>80.91119691119691</v>
      </c>
      <c r="F29" s="1">
        <f t="shared" si="7"/>
        <v>69.343629343629331</v>
      </c>
      <c r="G29" s="1">
        <f t="shared" si="7"/>
        <v>38.733590733590731</v>
      </c>
      <c r="H29" s="1">
        <f t="shared" si="7"/>
        <v>28.216216216216218</v>
      </c>
      <c r="I29" s="1">
        <f t="shared" si="7"/>
        <v>12.710424710424711</v>
      </c>
      <c r="J29" s="1">
        <f t="shared" si="7"/>
        <v>43.552123552123554</v>
      </c>
      <c r="K29" s="1">
        <f t="shared" si="7"/>
        <v>50.548262548262542</v>
      </c>
      <c r="L29" s="1">
        <f t="shared" si="7"/>
        <v>100</v>
      </c>
      <c r="M29" s="1">
        <f t="shared" si="7"/>
        <v>93.451737451737444</v>
      </c>
      <c r="N29" s="1">
        <f t="shared" si="7"/>
        <v>100</v>
      </c>
      <c r="O29" s="1">
        <f t="shared" si="7"/>
        <v>100</v>
      </c>
      <c r="P29" s="1">
        <f t="shared" si="7"/>
        <v>100</v>
      </c>
      <c r="Q29" s="1">
        <f t="shared" si="7"/>
        <v>80.123552123552116</v>
      </c>
      <c r="R29" s="1">
        <f t="shared" si="7"/>
        <v>0</v>
      </c>
    </row>
    <row r="31" spans="1:36" x14ac:dyDescent="0.25">
      <c r="A31" t="s">
        <v>81</v>
      </c>
      <c r="C31" t="s">
        <v>21</v>
      </c>
      <c r="D31" t="s">
        <v>22</v>
      </c>
      <c r="E31" t="s">
        <v>23</v>
      </c>
      <c r="F31" t="s">
        <v>24</v>
      </c>
      <c r="G31" t="s">
        <v>25</v>
      </c>
      <c r="H31" t="s">
        <v>26</v>
      </c>
      <c r="I31" t="s">
        <v>27</v>
      </c>
      <c r="J31" t="s">
        <v>28</v>
      </c>
      <c r="K31" t="s">
        <v>29</v>
      </c>
      <c r="L31" t="s">
        <v>30</v>
      </c>
      <c r="M31" t="s">
        <v>31</v>
      </c>
      <c r="N31" t="s">
        <v>32</v>
      </c>
      <c r="O31" t="s">
        <v>33</v>
      </c>
      <c r="P31" t="s">
        <v>34</v>
      </c>
      <c r="Q31" t="s">
        <v>35</v>
      </c>
      <c r="R31" t="s">
        <v>36</v>
      </c>
    </row>
    <row r="32" spans="1:36" x14ac:dyDescent="0.25">
      <c r="B32" t="s">
        <v>13</v>
      </c>
      <c r="C32" s="1">
        <f t="shared" ref="C32:R32" si="8">(C12/$U$1)*100</f>
        <v>0</v>
      </c>
      <c r="D32" s="1">
        <f t="shared" si="8"/>
        <v>46.007722007722016</v>
      </c>
      <c r="E32" s="1">
        <f t="shared" si="8"/>
        <v>0</v>
      </c>
      <c r="F32" s="1">
        <f t="shared" si="8"/>
        <v>0</v>
      </c>
      <c r="G32" s="1">
        <f t="shared" si="8"/>
        <v>46.007722007722016</v>
      </c>
      <c r="H32" s="1">
        <f t="shared" si="8"/>
        <v>0</v>
      </c>
      <c r="I32" s="1">
        <f t="shared" si="8"/>
        <v>19.320463320463318</v>
      </c>
      <c r="J32" s="1">
        <f t="shared" si="8"/>
        <v>0</v>
      </c>
      <c r="K32" s="1">
        <f t="shared" si="8"/>
        <v>0</v>
      </c>
      <c r="L32" s="1">
        <f t="shared" si="8"/>
        <v>11.243243243243244</v>
      </c>
      <c r="M32" s="1">
        <f t="shared" si="8"/>
        <v>5.2972972972972983</v>
      </c>
      <c r="N32" s="1">
        <f t="shared" si="8"/>
        <v>0</v>
      </c>
      <c r="O32" s="1">
        <f t="shared" si="8"/>
        <v>36.694980694980693</v>
      </c>
      <c r="P32" s="1">
        <f t="shared" si="8"/>
        <v>20.880308880308881</v>
      </c>
      <c r="Q32" s="1">
        <f t="shared" si="8"/>
        <v>9.3127413127413128</v>
      </c>
      <c r="R32" s="1">
        <f t="shared" si="8"/>
        <v>41.714285714285715</v>
      </c>
    </row>
    <row r="33" spans="1:20" x14ac:dyDescent="0.25">
      <c r="B33" t="s">
        <v>14</v>
      </c>
      <c r="C33" s="1">
        <f t="shared" ref="C33:R33" si="9">(C13/$U$1)*100</f>
        <v>0</v>
      </c>
      <c r="D33" s="1">
        <f t="shared" si="9"/>
        <v>0</v>
      </c>
      <c r="E33" s="1">
        <f t="shared" si="9"/>
        <v>0</v>
      </c>
      <c r="F33" s="1">
        <f t="shared" si="9"/>
        <v>0</v>
      </c>
      <c r="G33" s="1">
        <f t="shared" si="9"/>
        <v>0</v>
      </c>
      <c r="H33" s="1">
        <f t="shared" si="9"/>
        <v>39.876447876447877</v>
      </c>
      <c r="I33" s="1">
        <f t="shared" si="9"/>
        <v>37.328185328185327</v>
      </c>
      <c r="J33" s="1">
        <f t="shared" si="9"/>
        <v>6.1776061776061786</v>
      </c>
      <c r="K33" s="1">
        <f t="shared" si="9"/>
        <v>19.042471042471046</v>
      </c>
      <c r="L33" s="1">
        <f t="shared" si="9"/>
        <v>6.640926640926641</v>
      </c>
      <c r="M33" s="1">
        <f t="shared" si="9"/>
        <v>0</v>
      </c>
      <c r="N33" s="1">
        <f t="shared" si="9"/>
        <v>29.050193050193052</v>
      </c>
      <c r="O33" s="1">
        <f t="shared" si="9"/>
        <v>0</v>
      </c>
      <c r="P33" s="1">
        <f t="shared" si="9"/>
        <v>0</v>
      </c>
      <c r="Q33" s="1">
        <f t="shared" si="9"/>
        <v>0</v>
      </c>
      <c r="R33" s="1">
        <f t="shared" si="9"/>
        <v>35.196911196911195</v>
      </c>
    </row>
    <row r="34" spans="1:20" x14ac:dyDescent="0.25">
      <c r="B34" t="s">
        <v>15</v>
      </c>
      <c r="C34" s="1">
        <f t="shared" ref="C34:R34" si="10">(C14/$U$1)*100</f>
        <v>0</v>
      </c>
      <c r="D34" s="1">
        <f t="shared" si="10"/>
        <v>0</v>
      </c>
      <c r="E34" s="1">
        <f t="shared" si="10"/>
        <v>0</v>
      </c>
      <c r="F34" s="1">
        <f t="shared" si="10"/>
        <v>0</v>
      </c>
      <c r="G34" s="1">
        <f t="shared" si="10"/>
        <v>0</v>
      </c>
      <c r="H34" s="1">
        <f t="shared" si="10"/>
        <v>0</v>
      </c>
      <c r="I34" s="1">
        <f t="shared" si="10"/>
        <v>0</v>
      </c>
      <c r="J34" s="1">
        <f t="shared" si="10"/>
        <v>0</v>
      </c>
      <c r="K34" s="1">
        <f t="shared" si="10"/>
        <v>0</v>
      </c>
      <c r="L34" s="1">
        <f t="shared" si="10"/>
        <v>0</v>
      </c>
      <c r="M34" s="1">
        <f t="shared" si="10"/>
        <v>0</v>
      </c>
      <c r="N34" s="1">
        <f t="shared" si="10"/>
        <v>0</v>
      </c>
      <c r="O34" s="1">
        <f t="shared" si="10"/>
        <v>0</v>
      </c>
      <c r="P34" s="1">
        <f t="shared" si="10"/>
        <v>0</v>
      </c>
      <c r="Q34" s="1">
        <f t="shared" si="10"/>
        <v>14.20849420849421</v>
      </c>
      <c r="R34" s="1">
        <f t="shared" si="10"/>
        <v>0</v>
      </c>
    </row>
    <row r="35" spans="1:20" x14ac:dyDescent="0.25">
      <c r="B35" t="s">
        <v>16</v>
      </c>
      <c r="C35" s="1">
        <f t="shared" ref="C35:R35" si="11">(C15/$U$1)*100</f>
        <v>19.444015444015445</v>
      </c>
      <c r="D35" s="1">
        <f t="shared" si="11"/>
        <v>0</v>
      </c>
      <c r="E35" s="1">
        <f t="shared" si="11"/>
        <v>0</v>
      </c>
      <c r="F35" s="1">
        <f t="shared" si="11"/>
        <v>0</v>
      </c>
      <c r="G35" s="1">
        <f t="shared" si="11"/>
        <v>0</v>
      </c>
      <c r="H35" s="1">
        <f t="shared" si="11"/>
        <v>0</v>
      </c>
      <c r="I35" s="1">
        <f t="shared" si="11"/>
        <v>0</v>
      </c>
      <c r="J35" s="1">
        <f t="shared" si="11"/>
        <v>0</v>
      </c>
      <c r="K35" s="1">
        <f t="shared" si="11"/>
        <v>0</v>
      </c>
      <c r="L35" s="1">
        <f t="shared" si="11"/>
        <v>6.640926640926641</v>
      </c>
      <c r="M35" s="1">
        <f t="shared" si="11"/>
        <v>0</v>
      </c>
      <c r="N35" s="1">
        <f t="shared" si="11"/>
        <v>0</v>
      </c>
      <c r="O35" s="1">
        <f t="shared" si="11"/>
        <v>0</v>
      </c>
      <c r="P35" s="1">
        <f t="shared" si="11"/>
        <v>7.7528957528957543</v>
      </c>
      <c r="Q35" s="1">
        <f t="shared" si="11"/>
        <v>0</v>
      </c>
      <c r="R35" s="1">
        <f t="shared" si="11"/>
        <v>0</v>
      </c>
    </row>
    <row r="36" spans="1:20" x14ac:dyDescent="0.25">
      <c r="B36" t="s">
        <v>17</v>
      </c>
      <c r="C36" s="1">
        <f t="shared" ref="C36:R36" si="12">(C16/$U$1)*100</f>
        <v>0</v>
      </c>
      <c r="D36" s="1">
        <f t="shared" si="12"/>
        <v>18.440154440154441</v>
      </c>
      <c r="E36" s="1">
        <f t="shared" si="12"/>
        <v>19.567567567567568</v>
      </c>
      <c r="F36" s="1">
        <f t="shared" si="12"/>
        <v>0</v>
      </c>
      <c r="G36" s="1">
        <f t="shared" si="12"/>
        <v>0</v>
      </c>
      <c r="H36" s="1">
        <f t="shared" si="12"/>
        <v>0</v>
      </c>
      <c r="I36" s="1">
        <f t="shared" si="12"/>
        <v>0</v>
      </c>
      <c r="J36" s="1">
        <f t="shared" si="12"/>
        <v>0</v>
      </c>
      <c r="K36" s="1">
        <f t="shared" si="12"/>
        <v>0</v>
      </c>
      <c r="L36" s="1">
        <f t="shared" si="12"/>
        <v>16.571428571428569</v>
      </c>
      <c r="M36" s="1">
        <f t="shared" si="12"/>
        <v>0</v>
      </c>
      <c r="N36" s="1">
        <f t="shared" si="12"/>
        <v>22.332046332046332</v>
      </c>
      <c r="O36" s="1">
        <f t="shared" si="12"/>
        <v>6.9961389961389964</v>
      </c>
      <c r="P36" s="1">
        <f t="shared" si="12"/>
        <v>6.9961389961389964</v>
      </c>
      <c r="Q36" s="1">
        <f t="shared" si="12"/>
        <v>13.235521235521237</v>
      </c>
      <c r="R36" s="1">
        <f t="shared" si="12"/>
        <v>0</v>
      </c>
    </row>
    <row r="37" spans="1:20" x14ac:dyDescent="0.25">
      <c r="B37" t="s">
        <v>18</v>
      </c>
      <c r="C37" s="1">
        <f t="shared" ref="C37:R37" si="13">(C17/$U$1)*100</f>
        <v>0</v>
      </c>
      <c r="D37" s="1">
        <f t="shared" si="13"/>
        <v>0</v>
      </c>
      <c r="E37" s="1">
        <f t="shared" si="13"/>
        <v>0</v>
      </c>
      <c r="F37" s="1">
        <f t="shared" si="13"/>
        <v>0</v>
      </c>
      <c r="G37" s="1">
        <f t="shared" si="13"/>
        <v>0</v>
      </c>
      <c r="H37" s="1">
        <f t="shared" si="13"/>
        <v>0</v>
      </c>
      <c r="I37" s="1">
        <f t="shared" si="13"/>
        <v>0</v>
      </c>
      <c r="J37" s="1">
        <f t="shared" si="13"/>
        <v>16.324324324324323</v>
      </c>
      <c r="K37" s="1">
        <f t="shared" si="13"/>
        <v>0</v>
      </c>
      <c r="L37" s="1">
        <f t="shared" si="13"/>
        <v>0</v>
      </c>
      <c r="M37" s="1">
        <f t="shared" si="13"/>
        <v>0</v>
      </c>
      <c r="N37" s="1">
        <f t="shared" si="13"/>
        <v>0</v>
      </c>
      <c r="O37" s="1">
        <f t="shared" si="13"/>
        <v>0</v>
      </c>
      <c r="P37" s="1">
        <f t="shared" si="13"/>
        <v>0</v>
      </c>
      <c r="Q37" s="1">
        <f t="shared" si="13"/>
        <v>0</v>
      </c>
      <c r="R37" s="1">
        <f t="shared" si="13"/>
        <v>0</v>
      </c>
    </row>
    <row r="38" spans="1:20" x14ac:dyDescent="0.25">
      <c r="B38" t="s">
        <v>19</v>
      </c>
      <c r="C38" s="1">
        <f t="shared" ref="C38:R38" si="14">(C18/$U$1)*100</f>
        <v>68.833976833976834</v>
      </c>
      <c r="D38" s="1">
        <f t="shared" si="14"/>
        <v>35.552123552123547</v>
      </c>
      <c r="E38" s="1">
        <f t="shared" si="14"/>
        <v>80.432432432432449</v>
      </c>
      <c r="F38" s="1">
        <f t="shared" si="14"/>
        <v>6.8880308880308885</v>
      </c>
      <c r="G38" s="1">
        <f t="shared" si="14"/>
        <v>45.559845559845563</v>
      </c>
      <c r="H38" s="1">
        <f t="shared" si="14"/>
        <v>60.123552123552123</v>
      </c>
      <c r="I38" s="1">
        <f t="shared" si="14"/>
        <v>43.351351351351354</v>
      </c>
      <c r="J38" s="1">
        <f t="shared" si="14"/>
        <v>65.637065637065632</v>
      </c>
      <c r="K38" s="1">
        <f t="shared" si="14"/>
        <v>53.050193050193052</v>
      </c>
      <c r="L38" s="1">
        <f t="shared" si="14"/>
        <v>53.637065637065639</v>
      </c>
      <c r="M38" s="1">
        <f t="shared" si="14"/>
        <v>19.660231660231663</v>
      </c>
      <c r="N38" s="1">
        <f t="shared" si="14"/>
        <v>33.034749034749041</v>
      </c>
      <c r="O38" s="1">
        <f t="shared" si="14"/>
        <v>0</v>
      </c>
      <c r="P38" s="1">
        <f t="shared" si="14"/>
        <v>0</v>
      </c>
      <c r="Q38" s="1">
        <f t="shared" si="14"/>
        <v>0</v>
      </c>
      <c r="R38" s="1">
        <f t="shared" si="14"/>
        <v>8.8648648648648649</v>
      </c>
    </row>
    <row r="39" spans="1:20" x14ac:dyDescent="0.25">
      <c r="B39" t="s">
        <v>20</v>
      </c>
      <c r="C39" s="1">
        <f t="shared" ref="C39:R39" si="15">(C19/$U$1)*100</f>
        <v>10.332046332046334</v>
      </c>
      <c r="D39" s="1">
        <f t="shared" si="15"/>
        <v>0</v>
      </c>
      <c r="E39" s="1">
        <f t="shared" si="15"/>
        <v>0</v>
      </c>
      <c r="F39" s="1">
        <f t="shared" si="15"/>
        <v>93.111969111969117</v>
      </c>
      <c r="G39" s="1">
        <f t="shared" si="15"/>
        <v>8.4324324324324227</v>
      </c>
      <c r="H39" s="1">
        <f t="shared" si="15"/>
        <v>0</v>
      </c>
      <c r="I39" s="1">
        <f t="shared" si="15"/>
        <v>0</v>
      </c>
      <c r="J39" s="1">
        <f t="shared" si="15"/>
        <v>11.861003861003862</v>
      </c>
      <c r="K39" s="1">
        <f t="shared" si="15"/>
        <v>27.907335907335902</v>
      </c>
      <c r="L39" s="1">
        <f t="shared" si="15"/>
        <v>5.2664092664092692</v>
      </c>
      <c r="M39" s="1">
        <f t="shared" si="15"/>
        <v>73.806949806949802</v>
      </c>
      <c r="N39" s="1">
        <f t="shared" si="15"/>
        <v>15.583011583011574</v>
      </c>
      <c r="O39" s="1">
        <f t="shared" si="15"/>
        <v>56.308880308880319</v>
      </c>
      <c r="P39" s="1">
        <f t="shared" si="15"/>
        <v>64.370656370656363</v>
      </c>
      <c r="Q39" s="1">
        <f t="shared" si="15"/>
        <v>63.243243243243242</v>
      </c>
      <c r="R39" s="1">
        <f t="shared" si="15"/>
        <v>14.223938223938216</v>
      </c>
    </row>
    <row r="40" spans="1:20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20" x14ac:dyDescent="0.25">
      <c r="A41" t="s">
        <v>43</v>
      </c>
      <c r="B41" t="s">
        <v>37</v>
      </c>
      <c r="C41" s="1">
        <f>SUM(C22:C24)</f>
        <v>0</v>
      </c>
      <c r="D41" s="1">
        <f t="shared" ref="D41:T41" si="16">SUM(D22:D24)</f>
        <v>0</v>
      </c>
      <c r="E41" s="1">
        <f t="shared" si="16"/>
        <v>15.104247104247104</v>
      </c>
      <c r="F41" s="1">
        <f t="shared" si="16"/>
        <v>28.015444015444018</v>
      </c>
      <c r="G41" s="1">
        <f t="shared" si="16"/>
        <v>61.266409266409269</v>
      </c>
      <c r="H41" s="1">
        <f t="shared" si="16"/>
        <v>71.78378378378379</v>
      </c>
      <c r="I41" s="1">
        <f t="shared" si="16"/>
        <v>61.884169884169893</v>
      </c>
      <c r="J41" s="1">
        <f t="shared" si="16"/>
        <v>0</v>
      </c>
      <c r="K41" s="1">
        <f t="shared" si="16"/>
        <v>33.637065637065639</v>
      </c>
      <c r="L41" s="1">
        <f t="shared" si="16"/>
        <v>0</v>
      </c>
      <c r="M41" s="1">
        <f t="shared" si="16"/>
        <v>0</v>
      </c>
      <c r="N41" s="1">
        <f t="shared" si="16"/>
        <v>0</v>
      </c>
      <c r="O41" s="1">
        <f t="shared" si="16"/>
        <v>0</v>
      </c>
      <c r="P41" s="1">
        <f t="shared" si="16"/>
        <v>0</v>
      </c>
      <c r="Q41" s="1">
        <f t="shared" si="16"/>
        <v>0</v>
      </c>
      <c r="R41" s="1">
        <f t="shared" si="16"/>
        <v>73.65250965250965</v>
      </c>
      <c r="S41" s="1">
        <v>100</v>
      </c>
      <c r="T41" s="1">
        <f t="shared" si="16"/>
        <v>0</v>
      </c>
    </row>
    <row r="42" spans="1:20" x14ac:dyDescent="0.25">
      <c r="B42" t="s">
        <v>38</v>
      </c>
      <c r="C42" s="1">
        <f>SUM(C25:C29)</f>
        <v>100</v>
      </c>
      <c r="D42" s="1">
        <f t="shared" ref="D42:T42" si="17">SUM(D25:D29)</f>
        <v>100</v>
      </c>
      <c r="E42" s="1">
        <f t="shared" si="17"/>
        <v>84.895752895752892</v>
      </c>
      <c r="F42" s="1">
        <f t="shared" si="17"/>
        <v>71.984555984555968</v>
      </c>
      <c r="G42" s="1">
        <f t="shared" si="17"/>
        <v>38.733590733590731</v>
      </c>
      <c r="H42" s="1">
        <f t="shared" si="17"/>
        <v>28.216216216216218</v>
      </c>
      <c r="I42" s="1">
        <f t="shared" si="17"/>
        <v>38.115830115830114</v>
      </c>
      <c r="J42" s="1">
        <f t="shared" si="17"/>
        <v>100</v>
      </c>
      <c r="K42" s="1">
        <f t="shared" si="17"/>
        <v>66.362934362934354</v>
      </c>
      <c r="L42" s="1">
        <f t="shared" si="17"/>
        <v>100</v>
      </c>
      <c r="M42" s="1">
        <f t="shared" si="17"/>
        <v>99.999999999999986</v>
      </c>
      <c r="N42" s="1">
        <f t="shared" si="17"/>
        <v>100</v>
      </c>
      <c r="O42" s="1">
        <f>SUM(O25:O29)</f>
        <v>100</v>
      </c>
      <c r="P42" s="1">
        <f t="shared" si="17"/>
        <v>100</v>
      </c>
      <c r="Q42" s="1">
        <f t="shared" si="17"/>
        <v>100</v>
      </c>
      <c r="R42" s="1">
        <f t="shared" si="17"/>
        <v>26.347490347490343</v>
      </c>
      <c r="S42" s="1">
        <v>100</v>
      </c>
      <c r="T42" s="1">
        <f t="shared" si="17"/>
        <v>0</v>
      </c>
    </row>
    <row r="43" spans="1:2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0" x14ac:dyDescent="0.25">
      <c r="A44" t="s">
        <v>44</v>
      </c>
      <c r="B44" t="s">
        <v>37</v>
      </c>
      <c r="C44" s="1">
        <f>SUM(C32:C34)</f>
        <v>0</v>
      </c>
      <c r="D44" s="1">
        <f t="shared" ref="D44:T44" si="18">SUM(D32:D34)</f>
        <v>46.007722007722016</v>
      </c>
      <c r="E44" s="1">
        <f t="shared" si="18"/>
        <v>0</v>
      </c>
      <c r="F44" s="1">
        <f t="shared" si="18"/>
        <v>0</v>
      </c>
      <c r="G44" s="1">
        <f t="shared" si="18"/>
        <v>46.007722007722016</v>
      </c>
      <c r="H44" s="1">
        <f t="shared" si="18"/>
        <v>39.876447876447877</v>
      </c>
      <c r="I44" s="1">
        <f t="shared" si="18"/>
        <v>56.648648648648646</v>
      </c>
      <c r="J44" s="1">
        <f t="shared" si="18"/>
        <v>6.1776061776061786</v>
      </c>
      <c r="K44" s="1">
        <f t="shared" si="18"/>
        <v>19.042471042471046</v>
      </c>
      <c r="L44" s="1">
        <f>SUM(L32:L34)</f>
        <v>17.884169884169886</v>
      </c>
      <c r="M44" s="1">
        <f t="shared" si="18"/>
        <v>5.2972972972972983</v>
      </c>
      <c r="N44" s="1">
        <f t="shared" si="18"/>
        <v>29.050193050193052</v>
      </c>
      <c r="O44" s="1">
        <f t="shared" si="18"/>
        <v>36.694980694980693</v>
      </c>
      <c r="P44" s="1">
        <f>SUM(P32:P34)</f>
        <v>20.880308880308881</v>
      </c>
      <c r="Q44" s="1">
        <f t="shared" si="18"/>
        <v>23.521235521235525</v>
      </c>
      <c r="R44" s="1">
        <f t="shared" si="18"/>
        <v>76.91119691119691</v>
      </c>
      <c r="S44" s="1">
        <v>100</v>
      </c>
      <c r="T44" s="1">
        <f t="shared" si="18"/>
        <v>0</v>
      </c>
    </row>
    <row r="45" spans="1:20" x14ac:dyDescent="0.25">
      <c r="B45" t="s">
        <v>38</v>
      </c>
      <c r="C45" s="1">
        <f>SUM(C35:C39)</f>
        <v>98.610038610038615</v>
      </c>
      <c r="D45" s="1">
        <f t="shared" ref="D45:T45" si="19">SUM(D35:D39)</f>
        <v>53.992277992277991</v>
      </c>
      <c r="E45" s="1">
        <f t="shared" si="19"/>
        <v>100.00000000000001</v>
      </c>
      <c r="F45" s="1">
        <f t="shared" si="19"/>
        <v>100</v>
      </c>
      <c r="G45" s="1">
        <f t="shared" si="19"/>
        <v>53.992277992277984</v>
      </c>
      <c r="H45" s="1">
        <f t="shared" si="19"/>
        <v>60.123552123552123</v>
      </c>
      <c r="I45" s="1">
        <f t="shared" si="19"/>
        <v>43.351351351351354</v>
      </c>
      <c r="J45" s="1">
        <f t="shared" si="19"/>
        <v>93.822393822393821</v>
      </c>
      <c r="K45" s="1">
        <f t="shared" si="19"/>
        <v>80.95752895752895</v>
      </c>
      <c r="L45" s="1">
        <f t="shared" si="19"/>
        <v>82.115830115830121</v>
      </c>
      <c r="M45" s="1">
        <f t="shared" si="19"/>
        <v>93.467181467181462</v>
      </c>
      <c r="N45" s="1">
        <f t="shared" si="19"/>
        <v>70.949806949806941</v>
      </c>
      <c r="O45" s="1">
        <f t="shared" si="19"/>
        <v>63.305019305019314</v>
      </c>
      <c r="P45" s="1">
        <f t="shared" si="19"/>
        <v>79.119691119691112</v>
      </c>
      <c r="Q45" s="1">
        <f t="shared" si="19"/>
        <v>76.478764478764475</v>
      </c>
      <c r="R45" s="1">
        <f t="shared" si="19"/>
        <v>23.088803088803083</v>
      </c>
      <c r="S45" s="1">
        <v>100</v>
      </c>
      <c r="T45" s="1">
        <f t="shared" si="19"/>
        <v>0</v>
      </c>
    </row>
    <row r="47" spans="1:20" x14ac:dyDescent="0.25">
      <c r="A47" t="s">
        <v>43</v>
      </c>
      <c r="B47" t="s">
        <v>45</v>
      </c>
      <c r="C47" s="1">
        <f>C23+C24+C26+C28+C29</f>
        <v>100</v>
      </c>
      <c r="D47" s="1">
        <f t="shared" ref="D47:T47" si="20">D23+D24+D26+D28+D29</f>
        <v>85.343629343629345</v>
      </c>
      <c r="E47" s="1">
        <f t="shared" si="20"/>
        <v>84.895752895752892</v>
      </c>
      <c r="F47" s="1">
        <f t="shared" si="20"/>
        <v>99.999999999999986</v>
      </c>
      <c r="G47" s="1">
        <f t="shared" si="20"/>
        <v>56.633204633204627</v>
      </c>
      <c r="H47" s="1">
        <f t="shared" si="20"/>
        <v>78.362934362934368</v>
      </c>
      <c r="I47" s="1">
        <f t="shared" si="20"/>
        <v>65.667953667953668</v>
      </c>
      <c r="J47" s="1">
        <f t="shared" si="20"/>
        <v>81.899613899613897</v>
      </c>
      <c r="K47" s="1">
        <f t="shared" si="20"/>
        <v>91.814671814671811</v>
      </c>
      <c r="L47" s="1">
        <f t="shared" si="20"/>
        <v>100</v>
      </c>
      <c r="M47" s="1">
        <f t="shared" si="20"/>
        <v>93.451737451737444</v>
      </c>
      <c r="N47" s="1">
        <f t="shared" si="20"/>
        <v>100</v>
      </c>
      <c r="O47" s="1">
        <f t="shared" si="20"/>
        <v>100</v>
      </c>
      <c r="P47" s="1">
        <f t="shared" si="20"/>
        <v>100</v>
      </c>
      <c r="Q47" s="1">
        <f t="shared" si="20"/>
        <v>90.764478764478753</v>
      </c>
      <c r="R47" s="1">
        <f t="shared" si="20"/>
        <v>44.694980694980686</v>
      </c>
      <c r="S47" s="1">
        <v>100</v>
      </c>
      <c r="T47" s="1">
        <f t="shared" si="20"/>
        <v>0</v>
      </c>
    </row>
    <row r="48" spans="1:20" x14ac:dyDescent="0.25">
      <c r="B48" t="s">
        <v>46</v>
      </c>
      <c r="C48" s="1">
        <f>C22+C25+C27</f>
        <v>0</v>
      </c>
      <c r="D48" s="1">
        <f t="shared" ref="D48:T48" si="21">D22+D25+D27</f>
        <v>14.656370656370656</v>
      </c>
      <c r="E48" s="1">
        <f t="shared" si="21"/>
        <v>15.104247104247104</v>
      </c>
      <c r="F48" s="1">
        <f t="shared" si="21"/>
        <v>0</v>
      </c>
      <c r="G48" s="1">
        <f t="shared" si="21"/>
        <v>43.366795366795365</v>
      </c>
      <c r="H48" s="1">
        <f t="shared" si="21"/>
        <v>21.637065637065639</v>
      </c>
      <c r="I48" s="1">
        <f t="shared" si="21"/>
        <v>34.332046332046332</v>
      </c>
      <c r="J48" s="1">
        <f t="shared" si="21"/>
        <v>18.100386100386103</v>
      </c>
      <c r="K48" s="1">
        <f t="shared" si="21"/>
        <v>8.1853281853281867</v>
      </c>
      <c r="L48" s="1">
        <f t="shared" si="21"/>
        <v>0</v>
      </c>
      <c r="M48" s="1">
        <f t="shared" si="21"/>
        <v>6.5482625482625485</v>
      </c>
      <c r="N48" s="1">
        <f t="shared" si="21"/>
        <v>0</v>
      </c>
      <c r="O48" s="1">
        <f t="shared" si="21"/>
        <v>0</v>
      </c>
      <c r="P48" s="1">
        <f t="shared" si="21"/>
        <v>0</v>
      </c>
      <c r="Q48" s="1">
        <f t="shared" si="21"/>
        <v>9.2355212355212348</v>
      </c>
      <c r="R48" s="1">
        <f t="shared" si="21"/>
        <v>55.305019305019307</v>
      </c>
      <c r="S48" s="1">
        <v>100</v>
      </c>
      <c r="T48" s="1">
        <f t="shared" si="21"/>
        <v>0</v>
      </c>
    </row>
    <row r="50" spans="1:20" x14ac:dyDescent="0.25">
      <c r="A50" t="s">
        <v>44</v>
      </c>
      <c r="B50" t="s">
        <v>45</v>
      </c>
      <c r="C50" s="1">
        <f t="shared" ref="C50:R50" si="22">C33+C34+C36+C38+C39</f>
        <v>79.166023166023166</v>
      </c>
      <c r="D50" s="1">
        <f t="shared" si="22"/>
        <v>53.992277992277991</v>
      </c>
      <c r="E50" s="1">
        <f t="shared" si="22"/>
        <v>100.00000000000001</v>
      </c>
      <c r="F50" s="1">
        <f t="shared" si="22"/>
        <v>100</v>
      </c>
      <c r="G50" s="1">
        <f t="shared" si="22"/>
        <v>53.992277992277984</v>
      </c>
      <c r="H50" s="1">
        <f t="shared" si="22"/>
        <v>100</v>
      </c>
      <c r="I50" s="1">
        <f t="shared" si="22"/>
        <v>80.679536679536682</v>
      </c>
      <c r="J50" s="1">
        <f t="shared" si="22"/>
        <v>83.675675675675677</v>
      </c>
      <c r="K50" s="1">
        <f t="shared" si="22"/>
        <v>100</v>
      </c>
      <c r="L50" s="1">
        <f t="shared" si="22"/>
        <v>82.115830115830121</v>
      </c>
      <c r="M50" s="1">
        <f t="shared" si="22"/>
        <v>93.467181467181462</v>
      </c>
      <c r="N50" s="1">
        <f t="shared" si="22"/>
        <v>100</v>
      </c>
      <c r="O50" s="1">
        <f t="shared" si="22"/>
        <v>63.305019305019314</v>
      </c>
      <c r="P50" s="1">
        <f t="shared" si="22"/>
        <v>71.366795366795358</v>
      </c>
      <c r="Q50" s="1">
        <f t="shared" si="22"/>
        <v>90.687258687258691</v>
      </c>
      <c r="R50" s="1">
        <f t="shared" si="22"/>
        <v>58.285714285714278</v>
      </c>
      <c r="S50" s="1">
        <v>100</v>
      </c>
      <c r="T50" s="1">
        <f>T33+T34+T36+T38+T39</f>
        <v>0</v>
      </c>
    </row>
    <row r="51" spans="1:20" x14ac:dyDescent="0.25">
      <c r="B51" t="s">
        <v>46</v>
      </c>
      <c r="C51" s="1">
        <f t="shared" ref="C51:R51" si="23">C32+C35+C37</f>
        <v>19.444015444015445</v>
      </c>
      <c r="D51" s="1">
        <f t="shared" si="23"/>
        <v>46.007722007722016</v>
      </c>
      <c r="E51" s="1">
        <f t="shared" si="23"/>
        <v>0</v>
      </c>
      <c r="F51" s="1">
        <f t="shared" si="23"/>
        <v>0</v>
      </c>
      <c r="G51" s="1">
        <f t="shared" si="23"/>
        <v>46.007722007722016</v>
      </c>
      <c r="H51" s="1">
        <f t="shared" si="23"/>
        <v>0</v>
      </c>
      <c r="I51" s="1">
        <f t="shared" si="23"/>
        <v>19.320463320463318</v>
      </c>
      <c r="J51" s="1">
        <f t="shared" si="23"/>
        <v>16.324324324324323</v>
      </c>
      <c r="K51" s="1">
        <f t="shared" si="23"/>
        <v>0</v>
      </c>
      <c r="L51" s="1">
        <f t="shared" si="23"/>
        <v>17.884169884169886</v>
      </c>
      <c r="M51" s="1">
        <f t="shared" si="23"/>
        <v>5.2972972972972983</v>
      </c>
      <c r="N51" s="1">
        <f t="shared" si="23"/>
        <v>0</v>
      </c>
      <c r="O51" s="1">
        <f t="shared" si="23"/>
        <v>36.694980694980693</v>
      </c>
      <c r="P51" s="1">
        <f t="shared" si="23"/>
        <v>28.633204633204635</v>
      </c>
      <c r="Q51" s="1">
        <f t="shared" si="23"/>
        <v>9.3127413127413128</v>
      </c>
      <c r="R51" s="1">
        <f t="shared" si="23"/>
        <v>41.714285714285715</v>
      </c>
      <c r="S51" s="1">
        <v>100</v>
      </c>
      <c r="T51" s="1">
        <f>T32+T35+T37</f>
        <v>0</v>
      </c>
    </row>
    <row r="53" spans="1:20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20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6" spans="1:20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20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62" spans="1:20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20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</sheetData>
  <phoneticPr fontId="1" type="noConversion"/>
  <conditionalFormatting sqref="B63:S63 B66:S66">
    <cfRule type="colorScale" priority="3">
      <colorScale>
        <cfvo type="min"/>
        <cfvo type="percentile" val="50"/>
        <cfvo type="max"/>
        <color theme="0"/>
        <color theme="7" tint="0.79998168889431442"/>
        <color rgb="FF0070C0"/>
      </colorScale>
    </cfRule>
  </conditionalFormatting>
  <conditionalFormatting sqref="C53:R53 C56:R56">
    <cfRule type="colorScale" priority="12">
      <colorScale>
        <cfvo type="min"/>
        <cfvo type="percentile" val="50"/>
        <cfvo type="max"/>
        <color theme="0"/>
        <color rgb="FFFCBAF9"/>
        <color rgb="FFF747EF"/>
      </colorScale>
    </cfRule>
  </conditionalFormatting>
  <conditionalFormatting sqref="C54:R54 C57:R57">
    <cfRule type="colorScale" priority="10">
      <colorScale>
        <cfvo type="min"/>
        <cfvo type="percentile" val="50"/>
        <cfvo type="max"/>
        <color theme="0"/>
        <color rgb="FFC6C7F6"/>
        <color rgb="FF595CE5"/>
      </colorScale>
    </cfRule>
    <cfRule type="colorScale" priority="11">
      <colorScale>
        <cfvo type="min"/>
        <cfvo type="percentile" val="50"/>
        <cfvo type="max"/>
        <color theme="0"/>
        <color rgb="FFF2FA8A"/>
        <color rgb="FFE5F513"/>
      </colorScale>
    </cfRule>
  </conditionalFormatting>
  <conditionalFormatting sqref="C60:R61">
    <cfRule type="colorScale" priority="7">
      <colorScale>
        <cfvo type="min"/>
        <cfvo type="percentile" val="50"/>
        <cfvo type="max"/>
        <color theme="0"/>
        <color rgb="FFC6C7F6"/>
        <color rgb="FF595CE5"/>
      </colorScale>
    </cfRule>
    <cfRule type="colorScale" priority="8">
      <colorScale>
        <cfvo type="min"/>
        <cfvo type="max"/>
        <color rgb="FFFCFCFF"/>
        <color rgb="FF63BE7B"/>
      </colorScale>
    </cfRule>
    <cfRule type="colorScale" priority="9">
      <colorScale>
        <cfvo type="min"/>
        <cfvo type="percentile" val="50"/>
        <cfvo type="max"/>
        <color rgb="FF595CE5"/>
        <color rgb="FFC6C7F6"/>
        <color theme="0"/>
      </colorScale>
    </cfRule>
  </conditionalFormatting>
  <conditionalFormatting sqref="C48:S48">
    <cfRule type="colorScale" priority="4">
      <colorScale>
        <cfvo type="min"/>
        <cfvo type="percentile" val="50"/>
        <cfvo type="max"/>
        <color theme="0"/>
        <color theme="7" tint="0.79998168889431442"/>
        <color rgb="FF0070C0"/>
      </colorScale>
    </cfRule>
    <cfRule type="colorScale" priority="6">
      <colorScale>
        <cfvo type="min"/>
        <cfvo type="percentile" val="50"/>
        <cfvo type="max"/>
        <color theme="0"/>
        <color theme="4" tint="0.79998168889431442"/>
        <color rgb="FF0070C0"/>
      </colorScale>
    </cfRule>
  </conditionalFormatting>
  <conditionalFormatting sqref="C51:S51">
    <cfRule type="colorScale" priority="5">
      <colorScale>
        <cfvo type="min"/>
        <cfvo type="percentile" val="50"/>
        <cfvo type="max"/>
        <color theme="0"/>
        <color theme="7" tint="0.79998168889431442"/>
        <color rgb="FF0070C0"/>
      </colorScale>
    </cfRule>
  </conditionalFormatting>
  <conditionalFormatting sqref="C63:S63 C66:S66 C48:T48 C51:T51">
    <cfRule type="colorScale" priority="1">
      <colorScale>
        <cfvo type="min"/>
        <cfvo type="percentile" val="50"/>
        <cfvo type="max"/>
        <color theme="0"/>
        <color theme="7" tint="0.79998168889431442"/>
        <color rgb="FF0070C0"/>
      </colorScale>
    </cfRule>
  </conditionalFormatting>
  <conditionalFormatting sqref="C41:T41">
    <cfRule type="colorScale" priority="26">
      <colorScale>
        <cfvo type="min"/>
        <cfvo type="max"/>
        <color rgb="FFFCFCFF"/>
        <color rgb="FF63BE7B"/>
      </colorScale>
    </cfRule>
  </conditionalFormatting>
  <conditionalFormatting sqref="C42:T42">
    <cfRule type="colorScale" priority="25">
      <colorScale>
        <cfvo type="min"/>
        <cfvo type="max"/>
        <color rgb="FFFCFCFF"/>
        <color rgb="FFF8696B"/>
      </colorScale>
    </cfRule>
  </conditionalFormatting>
  <conditionalFormatting sqref="C44:T44">
    <cfRule type="colorScale" priority="22">
      <colorScale>
        <cfvo type="min"/>
        <cfvo type="max"/>
        <color rgb="FFFCFCFF"/>
        <color rgb="FF63BE7B"/>
      </colorScale>
    </cfRule>
  </conditionalFormatting>
  <conditionalFormatting sqref="C45:T45">
    <cfRule type="colorScale" priority="21">
      <colorScale>
        <cfvo type="min"/>
        <cfvo type="max"/>
        <color rgb="FFFCFCFF"/>
        <color rgb="FFF8696B"/>
      </colorScale>
    </cfRule>
  </conditionalFormatting>
  <conditionalFormatting sqref="C47:T47">
    <cfRule type="colorScale" priority="16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20">
      <colorScale>
        <cfvo type="min"/>
        <cfvo type="max"/>
        <color rgb="FFFCFCFF"/>
        <color rgb="FF63BE7B"/>
      </colorScale>
    </cfRule>
  </conditionalFormatting>
  <conditionalFormatting sqref="C48:T48 C51:T51">
    <cfRule type="colorScale" priority="2">
      <colorScale>
        <cfvo type="min"/>
        <cfvo type="percentile" val="50"/>
        <cfvo type="max"/>
        <color theme="0"/>
        <color theme="7" tint="0.79998168889431442"/>
        <color rgb="FF0070C0"/>
      </colorScale>
    </cfRule>
  </conditionalFormatting>
  <conditionalFormatting sqref="C48:T48">
    <cfRule type="colorScale" priority="14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9">
      <colorScale>
        <cfvo type="min"/>
        <cfvo type="max"/>
        <color rgb="FFFCFCFF"/>
        <color rgb="FFF8696B"/>
      </colorScale>
    </cfRule>
  </conditionalFormatting>
  <conditionalFormatting sqref="C50:T50">
    <cfRule type="colorScale" priority="15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18">
      <colorScale>
        <cfvo type="min"/>
        <cfvo type="max"/>
        <color rgb="FFFCFCFF"/>
        <color rgb="FF63BE7B"/>
      </colorScale>
    </cfRule>
  </conditionalFormatting>
  <conditionalFormatting sqref="C51:T51">
    <cfRule type="colorScale" priority="13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7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D16C-3147-452E-8773-3911D1BC5054}">
  <dimension ref="A1:AL57"/>
  <sheetViews>
    <sheetView topLeftCell="A13" zoomScale="70" zoomScaleNormal="70" workbookViewId="0">
      <selection activeCell="AN25" sqref="AN25"/>
    </sheetView>
  </sheetViews>
  <sheetFormatPr defaultRowHeight="15" x14ac:dyDescent="0.25"/>
  <sheetData>
    <row r="1" spans="1:38" x14ac:dyDescent="0.25">
      <c r="A1" t="s">
        <v>79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39</v>
      </c>
      <c r="Q1" t="s">
        <v>40</v>
      </c>
      <c r="R1" t="s">
        <v>41</v>
      </c>
      <c r="T1" s="6" t="s">
        <v>78</v>
      </c>
      <c r="U1" s="7" t="s">
        <v>0</v>
      </c>
      <c r="V1" s="7" t="s">
        <v>1</v>
      </c>
      <c r="W1" s="7" t="s">
        <v>2</v>
      </c>
      <c r="X1" s="7" t="s">
        <v>3</v>
      </c>
      <c r="Y1" s="7" t="s">
        <v>4</v>
      </c>
      <c r="Z1" s="7" t="s">
        <v>5</v>
      </c>
      <c r="AA1" s="7" t="s">
        <v>6</v>
      </c>
      <c r="AB1" s="7" t="s">
        <v>7</v>
      </c>
      <c r="AC1" s="7" t="s">
        <v>8</v>
      </c>
      <c r="AD1" s="7" t="s">
        <v>9</v>
      </c>
      <c r="AE1" s="7" t="s">
        <v>10</v>
      </c>
      <c r="AF1" s="7" t="s">
        <v>11</v>
      </c>
      <c r="AG1" s="7" t="s">
        <v>12</v>
      </c>
      <c r="AH1" s="7" t="s">
        <v>39</v>
      </c>
      <c r="AI1" s="7" t="s">
        <v>40</v>
      </c>
      <c r="AJ1" s="8" t="s">
        <v>41</v>
      </c>
    </row>
    <row r="2" spans="1:38" x14ac:dyDescent="0.25">
      <c r="B2" t="s">
        <v>13</v>
      </c>
      <c r="C2">
        <v>0</v>
      </c>
      <c r="D2">
        <v>0</v>
      </c>
      <c r="E2">
        <v>181.8</v>
      </c>
      <c r="F2">
        <v>0</v>
      </c>
      <c r="G2">
        <v>662.56</v>
      </c>
      <c r="H2">
        <v>28.82</v>
      </c>
      <c r="I2">
        <v>112.53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21320.73</v>
      </c>
      <c r="T2" s="9"/>
      <c r="U2">
        <v>2025.61</v>
      </c>
      <c r="V2">
        <v>1229.19</v>
      </c>
      <c r="W2">
        <v>1023.92</v>
      </c>
      <c r="X2">
        <v>1509.34</v>
      </c>
      <c r="Y2">
        <v>1782.8</v>
      </c>
      <c r="Z2">
        <v>1972.26</v>
      </c>
      <c r="AA2">
        <v>2480.71</v>
      </c>
      <c r="AB2">
        <v>7084.75</v>
      </c>
      <c r="AC2">
        <v>10198.74</v>
      </c>
      <c r="AD2" s="19">
        <v>10</v>
      </c>
      <c r="AE2" s="19">
        <v>10</v>
      </c>
      <c r="AF2" s="19">
        <v>10</v>
      </c>
      <c r="AG2" s="19">
        <v>10</v>
      </c>
      <c r="AH2" s="19">
        <v>10</v>
      </c>
      <c r="AI2">
        <f>28573.4+2366.33</f>
        <v>30939.730000000003</v>
      </c>
      <c r="AJ2" s="10">
        <f>47693.21+10211.34</f>
        <v>57904.55</v>
      </c>
      <c r="AL2" s="19" t="s">
        <v>106</v>
      </c>
    </row>
    <row r="3" spans="1:38" x14ac:dyDescent="0.25">
      <c r="B3" t="s">
        <v>14</v>
      </c>
      <c r="C3">
        <v>0</v>
      </c>
      <c r="D3">
        <v>0</v>
      </c>
      <c r="E3">
        <v>0</v>
      </c>
      <c r="F3">
        <v>438.13</v>
      </c>
      <c r="G3">
        <f>222.51+270.46</f>
        <v>492.96999999999997</v>
      </c>
      <c r="H3">
        <v>1384.88</v>
      </c>
      <c r="I3">
        <v>959.63</v>
      </c>
      <c r="J3">
        <v>0</v>
      </c>
      <c r="K3">
        <v>1901.93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f>3332.4+818.39+839.94</f>
        <v>4990.7299999999996</v>
      </c>
      <c r="T3" s="9"/>
      <c r="AJ3" s="10"/>
    </row>
    <row r="4" spans="1:38" x14ac:dyDescent="0.25">
      <c r="B4" t="s">
        <v>15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884.95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T4" s="9"/>
      <c r="U4" t="s">
        <v>21</v>
      </c>
      <c r="V4" t="s">
        <v>22</v>
      </c>
      <c r="W4" t="s">
        <v>23</v>
      </c>
      <c r="X4" t="s">
        <v>24</v>
      </c>
      <c r="Y4" t="s">
        <v>25</v>
      </c>
      <c r="Z4" t="s">
        <v>26</v>
      </c>
      <c r="AA4" t="s">
        <v>27</v>
      </c>
      <c r="AB4" t="s">
        <v>28</v>
      </c>
      <c r="AC4" t="s">
        <v>29</v>
      </c>
      <c r="AD4" t="s">
        <v>30</v>
      </c>
      <c r="AE4" t="s">
        <v>31</v>
      </c>
      <c r="AF4" t="s">
        <v>32</v>
      </c>
      <c r="AG4" t="s">
        <v>33</v>
      </c>
      <c r="AH4" t="s">
        <v>34</v>
      </c>
      <c r="AI4" t="s">
        <v>35</v>
      </c>
      <c r="AJ4" s="10" t="s">
        <v>36</v>
      </c>
    </row>
    <row r="5" spans="1:38" x14ac:dyDescent="0.25">
      <c r="B5" t="s">
        <v>16</v>
      </c>
      <c r="C5">
        <v>0</v>
      </c>
      <c r="D5">
        <v>180.68</v>
      </c>
      <c r="E5">
        <v>0</v>
      </c>
      <c r="F5">
        <v>0</v>
      </c>
      <c r="G5">
        <v>0</v>
      </c>
      <c r="H5">
        <v>0</v>
      </c>
      <c r="I5">
        <v>49.4</v>
      </c>
      <c r="J5">
        <f>36.69+46.98</f>
        <v>83.669999999999987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2738.01</v>
      </c>
      <c r="R5">
        <v>0</v>
      </c>
      <c r="T5" s="11"/>
      <c r="U5" s="12">
        <v>41283.11</v>
      </c>
      <c r="V5" s="12">
        <v>41283.11</v>
      </c>
      <c r="W5" s="12">
        <v>26555.65</v>
      </c>
      <c r="X5" s="12">
        <v>30101.47</v>
      </c>
      <c r="Y5" s="12">
        <v>31220.16</v>
      </c>
      <c r="Z5" s="12">
        <v>37786.660000000003</v>
      </c>
      <c r="AA5" s="12">
        <v>42283.26</v>
      </c>
      <c r="AB5" s="12">
        <v>23993.48</v>
      </c>
      <c r="AC5" s="12">
        <v>28349.97</v>
      </c>
      <c r="AD5" s="12">
        <v>27361.61</v>
      </c>
      <c r="AE5" s="12">
        <v>17167.16</v>
      </c>
      <c r="AF5" s="12">
        <v>20941.91</v>
      </c>
      <c r="AG5" s="12">
        <v>22315.02</v>
      </c>
      <c r="AH5" s="12">
        <v>13853.7</v>
      </c>
      <c r="AI5" s="12">
        <f>15695.47+2366.33</f>
        <v>18061.8</v>
      </c>
      <c r="AJ5" s="13">
        <f>9810.91+10211.34</f>
        <v>20022.25</v>
      </c>
    </row>
    <row r="6" spans="1:38" x14ac:dyDescent="0.25">
      <c r="B6" t="s">
        <v>17</v>
      </c>
      <c r="C6">
        <v>0</v>
      </c>
      <c r="D6">
        <v>0</v>
      </c>
      <c r="E6">
        <v>50.65</v>
      </c>
      <c r="F6">
        <v>0</v>
      </c>
      <c r="G6">
        <v>0</v>
      </c>
      <c r="H6">
        <v>0</v>
      </c>
      <c r="I6">
        <v>0</v>
      </c>
      <c r="J6">
        <v>219.92</v>
      </c>
      <c r="K6">
        <f>65.11+48.52</f>
        <v>113.63</v>
      </c>
      <c r="L6">
        <v>0</v>
      </c>
      <c r="M6">
        <v>0</v>
      </c>
      <c r="N6">
        <v>0</v>
      </c>
      <c r="O6">
        <v>0</v>
      </c>
      <c r="P6">
        <v>0</v>
      </c>
      <c r="Q6">
        <f>197.1+341.48</f>
        <v>538.58000000000004</v>
      </c>
      <c r="R6">
        <v>0</v>
      </c>
    </row>
    <row r="7" spans="1:38" x14ac:dyDescent="0.25">
      <c r="B7" t="s">
        <v>18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323.18</v>
      </c>
      <c r="K7">
        <v>431.9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</row>
    <row r="8" spans="1:38" x14ac:dyDescent="0.25">
      <c r="B8" t="s">
        <v>47</v>
      </c>
      <c r="C8">
        <v>2025.61</v>
      </c>
      <c r="D8">
        <f>V2-D5</f>
        <v>1048.51</v>
      </c>
      <c r="E8">
        <f>W2-(E2+E6)</f>
        <v>791.46999999999991</v>
      </c>
      <c r="F8">
        <f>X2-F3</f>
        <v>1071.21</v>
      </c>
      <c r="G8">
        <f>Y2-(G2+G3)</f>
        <v>627.27</v>
      </c>
      <c r="H8">
        <f>Z2-(H2+H3)</f>
        <v>558.55999999999995</v>
      </c>
      <c r="I8">
        <f>AA2-(I2+I3+I5)</f>
        <v>1359.1499999999999</v>
      </c>
      <c r="J8">
        <f>AB2-(J5+J6+J7)</f>
        <v>6457.98</v>
      </c>
      <c r="K8">
        <f>AC2-(K3+K4+K6+K7)</f>
        <v>6866.33</v>
      </c>
      <c r="L8">
        <v>10</v>
      </c>
      <c r="M8">
        <v>10</v>
      </c>
      <c r="N8">
        <v>10</v>
      </c>
      <c r="O8">
        <v>10</v>
      </c>
      <c r="P8">
        <v>10</v>
      </c>
      <c r="Q8">
        <f>AI2-(Q5+Q6)</f>
        <v>27663.140000000003</v>
      </c>
      <c r="R8">
        <f>AJ2-(R2+R3)</f>
        <v>31593.090000000004</v>
      </c>
    </row>
    <row r="11" spans="1:38" x14ac:dyDescent="0.25">
      <c r="A11" t="s">
        <v>80</v>
      </c>
      <c r="C11" t="s">
        <v>21</v>
      </c>
      <c r="D11" t="s">
        <v>22</v>
      </c>
      <c r="E11" t="s">
        <v>23</v>
      </c>
      <c r="F11" t="s">
        <v>24</v>
      </c>
      <c r="G11" t="s">
        <v>25</v>
      </c>
      <c r="H11" t="s">
        <v>26</v>
      </c>
      <c r="I11" t="s">
        <v>27</v>
      </c>
      <c r="J11" t="s">
        <v>28</v>
      </c>
      <c r="K11" t="s">
        <v>29</v>
      </c>
      <c r="L11" t="s">
        <v>30</v>
      </c>
      <c r="M11" t="s">
        <v>31</v>
      </c>
      <c r="N11" t="s">
        <v>32</v>
      </c>
      <c r="O11" t="s">
        <v>33</v>
      </c>
      <c r="P11" t="s">
        <v>34</v>
      </c>
      <c r="Q11" t="s">
        <v>35</v>
      </c>
      <c r="R11" t="s">
        <v>36</v>
      </c>
    </row>
    <row r="12" spans="1:38" x14ac:dyDescent="0.25">
      <c r="B12" t="s">
        <v>13</v>
      </c>
      <c r="C12">
        <v>0</v>
      </c>
      <c r="D12">
        <v>3529.28</v>
      </c>
      <c r="E12">
        <v>0</v>
      </c>
      <c r="F12">
        <v>0</v>
      </c>
      <c r="G12">
        <v>12646.01</v>
      </c>
      <c r="H12">
        <v>0</v>
      </c>
      <c r="I12">
        <v>386.62</v>
      </c>
      <c r="J12">
        <v>0</v>
      </c>
      <c r="K12">
        <v>0</v>
      </c>
      <c r="L12">
        <v>916.34</v>
      </c>
      <c r="M12">
        <v>602.89</v>
      </c>
      <c r="N12">
        <v>0</v>
      </c>
      <c r="O12">
        <v>7461.22</v>
      </c>
      <c r="P12">
        <f>1805+521.7</f>
        <v>2326.6999999999998</v>
      </c>
      <c r="Q12">
        <f>828.44+1212.04</f>
        <v>2040.48</v>
      </c>
      <c r="R12">
        <f>6995.69+5495.41</f>
        <v>12491.099999999999</v>
      </c>
    </row>
    <row r="13" spans="1:38" x14ac:dyDescent="0.25">
      <c r="B13" t="s">
        <v>14</v>
      </c>
      <c r="C13">
        <v>0</v>
      </c>
      <c r="D13">
        <v>0</v>
      </c>
      <c r="E13">
        <v>0</v>
      </c>
      <c r="F13">
        <v>0</v>
      </c>
      <c r="G13">
        <v>0</v>
      </c>
      <c r="H13">
        <v>16154.15</v>
      </c>
      <c r="I13">
        <v>20453.25</v>
      </c>
      <c r="J13">
        <v>2163.09</v>
      </c>
      <c r="K13">
        <v>3946.65</v>
      </c>
      <c r="L13">
        <v>792.33</v>
      </c>
      <c r="M13">
        <v>0</v>
      </c>
      <c r="N13">
        <v>2059.27</v>
      </c>
      <c r="O13">
        <v>0</v>
      </c>
      <c r="P13">
        <v>0</v>
      </c>
      <c r="Q13">
        <v>552.41999999999996</v>
      </c>
      <c r="R13">
        <v>1152.5999999999999</v>
      </c>
    </row>
    <row r="14" spans="1:38" x14ac:dyDescent="0.25">
      <c r="B14" t="s">
        <v>15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276.08999999999997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828.44</v>
      </c>
      <c r="R14">
        <v>0</v>
      </c>
    </row>
    <row r="15" spans="1:38" x14ac:dyDescent="0.25">
      <c r="B15" t="s">
        <v>16</v>
      </c>
      <c r="C15">
        <f>1018.53+52.95+68.28+7.22</f>
        <v>1146.98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f>285.84+282.04</f>
        <v>567.88</v>
      </c>
      <c r="M15">
        <v>0</v>
      </c>
      <c r="N15">
        <v>0</v>
      </c>
      <c r="O15">
        <v>0</v>
      </c>
      <c r="P15">
        <v>550.74</v>
      </c>
      <c r="Q15">
        <v>0</v>
      </c>
      <c r="R15">
        <v>0</v>
      </c>
    </row>
    <row r="16" spans="1:38" x14ac:dyDescent="0.25">
      <c r="B16" t="s">
        <v>17</v>
      </c>
      <c r="C16">
        <v>0</v>
      </c>
      <c r="D16">
        <f>106.58+52.12</f>
        <v>158.69999999999999</v>
      </c>
      <c r="E16">
        <f>351.22+17.96</f>
        <v>369.18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4072.59</v>
      </c>
      <c r="M16">
        <v>0</v>
      </c>
      <c r="N16">
        <v>1438.41</v>
      </c>
      <c r="O16">
        <v>46.54</v>
      </c>
      <c r="P16">
        <v>1028.5999999999999</v>
      </c>
      <c r="Q16">
        <f>1014.07+400</f>
        <v>1414.0700000000002</v>
      </c>
      <c r="R16">
        <v>0</v>
      </c>
    </row>
    <row r="17" spans="1:18" x14ac:dyDescent="0.25">
      <c r="B17" t="s">
        <v>18</v>
      </c>
      <c r="C17">
        <v>4356.6400000000003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5385.74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</row>
    <row r="18" spans="1:18" x14ac:dyDescent="0.25">
      <c r="B18" t="s">
        <v>47</v>
      </c>
      <c r="C18">
        <f>U5-(C15+C17)</f>
        <v>35779.49</v>
      </c>
      <c r="D18">
        <f>V5-(D12+D16)</f>
        <v>37595.129999999997</v>
      </c>
      <c r="E18">
        <f>W5-E16</f>
        <v>26186.47</v>
      </c>
      <c r="F18">
        <v>30101.47</v>
      </c>
      <c r="G18">
        <f>Y5-G12</f>
        <v>18574.150000000001</v>
      </c>
      <c r="H18">
        <f>Z5-H13</f>
        <v>21632.510000000002</v>
      </c>
      <c r="I18">
        <f>AA5-(I12+I13+I14)</f>
        <v>21167.300000000003</v>
      </c>
      <c r="J18">
        <f>AB5-(J13+J17)</f>
        <v>16444.650000000001</v>
      </c>
      <c r="K18">
        <f>AC5-K13</f>
        <v>24403.32</v>
      </c>
      <c r="L18">
        <f>AD5-(L12+L13+L15+L16)</f>
        <v>21012.47</v>
      </c>
      <c r="M18">
        <f>AE5-M12</f>
        <v>16564.27</v>
      </c>
      <c r="N18">
        <f>AF5-(N13+N16)</f>
        <v>17444.23</v>
      </c>
      <c r="O18">
        <f>AG5-O12</f>
        <v>14853.8</v>
      </c>
      <c r="P18">
        <f>AH5-(P12+P13+P15+P16)</f>
        <v>9947.6600000000017</v>
      </c>
      <c r="Q18">
        <f>AI5-(Q12+Q13+Q14+Q16)</f>
        <v>13226.39</v>
      </c>
      <c r="R18">
        <f>AJ5-R12</f>
        <v>7531.1500000000015</v>
      </c>
    </row>
    <row r="21" spans="1:18" x14ac:dyDescent="0.25">
      <c r="A21" t="s">
        <v>82</v>
      </c>
      <c r="C21" t="s">
        <v>0</v>
      </c>
      <c r="D21" t="s">
        <v>1</v>
      </c>
      <c r="E21" t="s">
        <v>2</v>
      </c>
      <c r="F21" t="s">
        <v>3</v>
      </c>
      <c r="G21" t="s">
        <v>4</v>
      </c>
      <c r="H21" t="s">
        <v>5</v>
      </c>
      <c r="I21" t="s">
        <v>6</v>
      </c>
      <c r="J21" t="s">
        <v>7</v>
      </c>
      <c r="K21" t="s">
        <v>8</v>
      </c>
      <c r="L21" t="s">
        <v>9</v>
      </c>
      <c r="M21" t="s">
        <v>10</v>
      </c>
      <c r="N21" t="s">
        <v>11</v>
      </c>
      <c r="O21" t="s">
        <v>12</v>
      </c>
      <c r="P21" t="s">
        <v>42</v>
      </c>
      <c r="Q21" t="s">
        <v>40</v>
      </c>
      <c r="R21" t="s">
        <v>41</v>
      </c>
    </row>
    <row r="22" spans="1:18" x14ac:dyDescent="0.25">
      <c r="B22" t="s">
        <v>13</v>
      </c>
      <c r="C22" s="1">
        <f t="shared" ref="C22:C28" si="0">(C2/$U$2)*100</f>
        <v>0</v>
      </c>
      <c r="D22" s="1">
        <f>(D2/$V$2)*100</f>
        <v>0</v>
      </c>
      <c r="E22" s="1">
        <f t="shared" ref="E22:E28" si="1">(E2/$W$2)*100</f>
        <v>17.755293382295495</v>
      </c>
      <c r="F22" s="1">
        <f t="shared" ref="F22:F28" si="2">(F2/$X$2)*100</f>
        <v>0</v>
      </c>
      <c r="G22" s="1">
        <f t="shared" ref="G22:G28" si="3">(G2/$Y$2)*100</f>
        <v>37.164011667040612</v>
      </c>
      <c r="H22" s="1">
        <f t="shared" ref="H22:H28" si="4">(H2/$Z$2)*100</f>
        <v>1.4612677841663879</v>
      </c>
      <c r="I22" s="1">
        <f t="shared" ref="I22:I28" si="5">(I2/$AA$2)*100</f>
        <v>4.5362013294580983</v>
      </c>
      <c r="J22" s="1">
        <f t="shared" ref="J22:J28" si="6">(J2/$AB$2)*100</f>
        <v>0</v>
      </c>
      <c r="K22" s="1">
        <f t="shared" ref="K22:K28" si="7">(K2/$AC$2)*100</f>
        <v>0</v>
      </c>
      <c r="L22" s="1">
        <f t="shared" ref="L22:L28" si="8">(L2/$AD$2)*100</f>
        <v>0</v>
      </c>
      <c r="M22" s="1">
        <f t="shared" ref="M22:N28" si="9">(M2/$AE$2)*100</f>
        <v>0</v>
      </c>
      <c r="N22" s="1">
        <f t="shared" si="9"/>
        <v>0</v>
      </c>
      <c r="O22" s="1">
        <f t="shared" ref="O22:O28" si="10">(O2/$AG$2)*100</f>
        <v>0</v>
      </c>
      <c r="P22" s="1">
        <f t="shared" ref="P22:P28" si="11">(P2/$AH$2)*100</f>
        <v>0</v>
      </c>
      <c r="Q22" s="1">
        <f t="shared" ref="Q22:Q28" si="12">(Q2/$AI$2)*100</f>
        <v>0</v>
      </c>
      <c r="R22" s="1">
        <f t="shared" ref="R22:R28" si="13">(R2/$AJ$2)*100</f>
        <v>36.820474384137341</v>
      </c>
    </row>
    <row r="23" spans="1:18" x14ac:dyDescent="0.25">
      <c r="B23" t="s">
        <v>14</v>
      </c>
      <c r="C23" s="1">
        <f t="shared" si="0"/>
        <v>0</v>
      </c>
      <c r="D23" s="1">
        <f>(D3/$V$2)*100</f>
        <v>0</v>
      </c>
      <c r="E23" s="1">
        <f t="shared" si="1"/>
        <v>0</v>
      </c>
      <c r="F23" s="1">
        <f t="shared" si="2"/>
        <v>29.027919487988129</v>
      </c>
      <c r="G23" s="1">
        <f t="shared" si="3"/>
        <v>27.651447161768004</v>
      </c>
      <c r="H23" s="1">
        <f t="shared" si="4"/>
        <v>70.217922586271598</v>
      </c>
      <c r="I23" s="1">
        <f t="shared" si="5"/>
        <v>38.683683300345464</v>
      </c>
      <c r="J23" s="1">
        <f t="shared" si="6"/>
        <v>0</v>
      </c>
      <c r="K23" s="1">
        <f t="shared" si="7"/>
        <v>18.6486762090219</v>
      </c>
      <c r="L23" s="1">
        <f t="shared" si="8"/>
        <v>0</v>
      </c>
      <c r="M23" s="1">
        <f t="shared" si="9"/>
        <v>0</v>
      </c>
      <c r="N23" s="1">
        <f t="shared" si="9"/>
        <v>0</v>
      </c>
      <c r="O23" s="1">
        <f t="shared" si="10"/>
        <v>0</v>
      </c>
      <c r="P23" s="1">
        <f t="shared" si="11"/>
        <v>0</v>
      </c>
      <c r="Q23" s="1">
        <f t="shared" si="12"/>
        <v>0</v>
      </c>
      <c r="R23" s="1">
        <f t="shared" si="13"/>
        <v>8.6188909161715266</v>
      </c>
    </row>
    <row r="24" spans="1:18" x14ac:dyDescent="0.25">
      <c r="B24" t="s">
        <v>15</v>
      </c>
      <c r="C24" s="1">
        <f t="shared" si="0"/>
        <v>0</v>
      </c>
      <c r="D24" s="1">
        <v>0</v>
      </c>
      <c r="E24" s="1">
        <f t="shared" si="1"/>
        <v>0</v>
      </c>
      <c r="F24" s="1">
        <f t="shared" si="2"/>
        <v>0</v>
      </c>
      <c r="G24" s="1">
        <f t="shared" si="3"/>
        <v>0</v>
      </c>
      <c r="H24" s="1">
        <f t="shared" si="4"/>
        <v>0</v>
      </c>
      <c r="I24" s="1">
        <f t="shared" si="5"/>
        <v>0</v>
      </c>
      <c r="J24" s="1">
        <f t="shared" si="6"/>
        <v>0</v>
      </c>
      <c r="K24" s="1">
        <f t="shared" si="7"/>
        <v>8.677052263318803</v>
      </c>
      <c r="L24" s="1">
        <f t="shared" si="8"/>
        <v>0</v>
      </c>
      <c r="M24" s="1">
        <f t="shared" si="9"/>
        <v>0</v>
      </c>
      <c r="N24" s="1">
        <f t="shared" si="9"/>
        <v>0</v>
      </c>
      <c r="O24" s="1">
        <f t="shared" si="10"/>
        <v>0</v>
      </c>
      <c r="P24" s="1">
        <f t="shared" si="11"/>
        <v>0</v>
      </c>
      <c r="Q24" s="1">
        <f t="shared" si="12"/>
        <v>0</v>
      </c>
      <c r="R24" s="1">
        <f t="shared" si="13"/>
        <v>0</v>
      </c>
    </row>
    <row r="25" spans="1:18" x14ac:dyDescent="0.25">
      <c r="B25" t="s">
        <v>16</v>
      </c>
      <c r="C25" s="1">
        <f t="shared" si="0"/>
        <v>0</v>
      </c>
      <c r="D25" s="1">
        <f>(D5/$V$2)*100</f>
        <v>14.699110796540813</v>
      </c>
      <c r="E25" s="1">
        <f t="shared" si="1"/>
        <v>0</v>
      </c>
      <c r="F25" s="1">
        <f t="shared" si="2"/>
        <v>0</v>
      </c>
      <c r="G25" s="1">
        <f t="shared" si="3"/>
        <v>0</v>
      </c>
      <c r="H25" s="1">
        <f t="shared" si="4"/>
        <v>0</v>
      </c>
      <c r="I25" s="1">
        <f t="shared" si="5"/>
        <v>1.9913653752353155</v>
      </c>
      <c r="J25" s="1">
        <f t="shared" si="6"/>
        <v>1.1809873319453756</v>
      </c>
      <c r="K25" s="1">
        <f t="shared" si="7"/>
        <v>0</v>
      </c>
      <c r="L25" s="1">
        <f t="shared" si="8"/>
        <v>0</v>
      </c>
      <c r="M25" s="1">
        <f t="shared" si="9"/>
        <v>0</v>
      </c>
      <c r="N25" s="1">
        <f t="shared" si="9"/>
        <v>0</v>
      </c>
      <c r="O25" s="1">
        <f t="shared" si="10"/>
        <v>0</v>
      </c>
      <c r="P25" s="1">
        <f t="shared" si="11"/>
        <v>0</v>
      </c>
      <c r="Q25" s="1">
        <f t="shared" si="12"/>
        <v>8.8494954545498619</v>
      </c>
      <c r="R25" s="1">
        <f t="shared" si="13"/>
        <v>0</v>
      </c>
    </row>
    <row r="26" spans="1:18" x14ac:dyDescent="0.25">
      <c r="B26" t="s">
        <v>17</v>
      </c>
      <c r="C26" s="1">
        <f t="shared" si="0"/>
        <v>0</v>
      </c>
      <c r="D26" s="1">
        <f>(D6/$V$2)*100</f>
        <v>0</v>
      </c>
      <c r="E26" s="1">
        <f t="shared" si="1"/>
        <v>4.946675521525119</v>
      </c>
      <c r="F26" s="1">
        <f t="shared" si="2"/>
        <v>0</v>
      </c>
      <c r="G26" s="1">
        <f t="shared" si="3"/>
        <v>0</v>
      </c>
      <c r="H26" s="1">
        <f t="shared" si="4"/>
        <v>0</v>
      </c>
      <c r="I26" s="1">
        <f t="shared" si="5"/>
        <v>0</v>
      </c>
      <c r="J26" s="1">
        <f t="shared" si="6"/>
        <v>3.1041321147535195</v>
      </c>
      <c r="K26" s="1">
        <f t="shared" si="7"/>
        <v>1.1141572390314882</v>
      </c>
      <c r="L26" s="1">
        <f t="shared" si="8"/>
        <v>0</v>
      </c>
      <c r="M26" s="1">
        <f t="shared" si="9"/>
        <v>0</v>
      </c>
      <c r="N26" s="1">
        <f t="shared" si="9"/>
        <v>0</v>
      </c>
      <c r="O26" s="1">
        <f t="shared" si="10"/>
        <v>0</v>
      </c>
      <c r="P26" s="1">
        <f t="shared" si="11"/>
        <v>0</v>
      </c>
      <c r="Q26" s="1">
        <f t="shared" si="12"/>
        <v>1.7407391725784291</v>
      </c>
      <c r="R26" s="1">
        <f t="shared" si="13"/>
        <v>0</v>
      </c>
    </row>
    <row r="27" spans="1:18" x14ac:dyDescent="0.25">
      <c r="B27" t="s">
        <v>18</v>
      </c>
      <c r="C27" s="1">
        <f t="shared" si="0"/>
        <v>0</v>
      </c>
      <c r="D27" s="1">
        <f>(D7/$V$2)*100</f>
        <v>0</v>
      </c>
      <c r="E27" s="1">
        <f t="shared" si="1"/>
        <v>0</v>
      </c>
      <c r="F27" s="1">
        <f t="shared" si="2"/>
        <v>0</v>
      </c>
      <c r="G27" s="1">
        <f t="shared" si="3"/>
        <v>0</v>
      </c>
      <c r="H27" s="1">
        <f t="shared" si="4"/>
        <v>0</v>
      </c>
      <c r="I27" s="1">
        <f t="shared" si="5"/>
        <v>0</v>
      </c>
      <c r="J27" s="1">
        <f t="shared" si="6"/>
        <v>4.5616288507004485</v>
      </c>
      <c r="K27" s="1">
        <f t="shared" si="7"/>
        <v>4.2348368523954916</v>
      </c>
      <c r="L27" s="1">
        <f t="shared" si="8"/>
        <v>0</v>
      </c>
      <c r="M27" s="1">
        <f t="shared" si="9"/>
        <v>0</v>
      </c>
      <c r="N27" s="1">
        <f t="shared" si="9"/>
        <v>0</v>
      </c>
      <c r="O27" s="1">
        <f t="shared" si="10"/>
        <v>0</v>
      </c>
      <c r="P27" s="1">
        <f t="shared" si="11"/>
        <v>0</v>
      </c>
      <c r="Q27" s="1">
        <f t="shared" si="12"/>
        <v>0</v>
      </c>
      <c r="R27" s="1">
        <f t="shared" si="13"/>
        <v>0</v>
      </c>
    </row>
    <row r="28" spans="1:18" x14ac:dyDescent="0.25">
      <c r="B28" t="s">
        <v>19</v>
      </c>
      <c r="C28" s="1">
        <f t="shared" si="0"/>
        <v>100</v>
      </c>
      <c r="D28" s="1">
        <f>(D8/$V$2)*100</f>
        <v>85.300889203459178</v>
      </c>
      <c r="E28" s="1">
        <f t="shared" si="1"/>
        <v>77.298031096179386</v>
      </c>
      <c r="F28" s="1">
        <f t="shared" si="2"/>
        <v>70.972080512011885</v>
      </c>
      <c r="G28" s="1">
        <f t="shared" si="3"/>
        <v>35.184541171191384</v>
      </c>
      <c r="H28" s="1">
        <f t="shared" si="4"/>
        <v>28.320809629562021</v>
      </c>
      <c r="I28" s="1">
        <f t="shared" si="5"/>
        <v>54.788749994961115</v>
      </c>
      <c r="J28" s="1">
        <f t="shared" si="6"/>
        <v>91.153251702600642</v>
      </c>
      <c r="K28" s="1">
        <f t="shared" si="7"/>
        <v>67.325277436232327</v>
      </c>
      <c r="L28" s="1">
        <f t="shared" si="8"/>
        <v>100</v>
      </c>
      <c r="M28" s="1">
        <f t="shared" si="9"/>
        <v>100</v>
      </c>
      <c r="N28" s="1">
        <f t="shared" si="9"/>
        <v>100</v>
      </c>
      <c r="O28" s="1">
        <f t="shared" si="10"/>
        <v>100</v>
      </c>
      <c r="P28" s="1">
        <f t="shared" si="11"/>
        <v>100</v>
      </c>
      <c r="Q28" s="1">
        <f t="shared" si="12"/>
        <v>89.409765372871703</v>
      </c>
      <c r="R28" s="1">
        <f t="shared" si="13"/>
        <v>54.560634699691136</v>
      </c>
    </row>
    <row r="29" spans="1:18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8" x14ac:dyDescent="0.25">
      <c r="F30" s="1"/>
    </row>
    <row r="31" spans="1:18" x14ac:dyDescent="0.25">
      <c r="A31" t="s">
        <v>81</v>
      </c>
      <c r="C31" t="s">
        <v>21</v>
      </c>
      <c r="D31" t="s">
        <v>22</v>
      </c>
      <c r="E31" t="s">
        <v>23</v>
      </c>
      <c r="F31" t="s">
        <v>24</v>
      </c>
      <c r="G31" t="s">
        <v>25</v>
      </c>
      <c r="H31" t="s">
        <v>26</v>
      </c>
      <c r="I31" t="s">
        <v>27</v>
      </c>
      <c r="J31" t="s">
        <v>28</v>
      </c>
      <c r="K31" t="s">
        <v>29</v>
      </c>
      <c r="L31" t="s">
        <v>30</v>
      </c>
      <c r="M31" t="s">
        <v>31</v>
      </c>
      <c r="N31" t="s">
        <v>32</v>
      </c>
      <c r="O31" t="s">
        <v>33</v>
      </c>
      <c r="P31" t="s">
        <v>34</v>
      </c>
      <c r="Q31" t="s">
        <v>35</v>
      </c>
      <c r="R31" t="s">
        <v>36</v>
      </c>
    </row>
    <row r="32" spans="1:18" x14ac:dyDescent="0.25">
      <c r="B32" t="s">
        <v>13</v>
      </c>
      <c r="C32" s="1">
        <f t="shared" ref="C32:C38" si="14">(C12/$U$5)*100</f>
        <v>0</v>
      </c>
      <c r="D32" s="1">
        <f t="shared" ref="D32:D38" si="15">(D12/$V$5)*100</f>
        <v>8.5489683311165265</v>
      </c>
      <c r="E32" s="1">
        <f t="shared" ref="E32:E38" si="16">(E12/$W$5)*100</f>
        <v>0</v>
      </c>
      <c r="F32" s="1">
        <f t="shared" ref="F32:F38" si="17">(F12/$X$5)*100</f>
        <v>0</v>
      </c>
      <c r="G32" s="1">
        <f t="shared" ref="G32:G38" si="18">(G12/$Y$5)*100</f>
        <v>40.50591028361162</v>
      </c>
      <c r="H32" s="1">
        <f t="shared" ref="H32:H38" si="19">(H12/$Z$5)*100</f>
        <v>0</v>
      </c>
      <c r="I32" s="1">
        <f t="shared" ref="I32:I38" si="20">(I12/$AA$5)*100</f>
        <v>0.91435712383576861</v>
      </c>
      <c r="J32" s="1">
        <f t="shared" ref="J32:J38" si="21">(J12/$AB$5)*100</f>
        <v>0</v>
      </c>
      <c r="K32" s="1">
        <f t="shared" ref="K32:K38" si="22">(K12/$AC$5)*100</f>
        <v>0</v>
      </c>
      <c r="L32" s="1">
        <f t="shared" ref="L32:L38" si="23">(L12/$AD$5)*100</f>
        <v>3.348998834498409</v>
      </c>
      <c r="M32" s="1">
        <f t="shared" ref="M32:M38" si="24">(M12/$AE$5)*100</f>
        <v>3.5118796586039855</v>
      </c>
      <c r="N32" s="1">
        <f t="shared" ref="N32:N38" si="25">(N12/$AF$5)*100</f>
        <v>0</v>
      </c>
      <c r="O32" s="1">
        <f t="shared" ref="O32:O38" si="26">(O12/$AG$5)*100</f>
        <v>33.435865170633946</v>
      </c>
      <c r="P32" s="1">
        <f t="shared" ref="P32:P38" si="27">(P12/$AH$5)*100</f>
        <v>16.794791283195103</v>
      </c>
      <c r="Q32" s="1">
        <f t="shared" ref="Q32:Q38" si="28">(Q12/$AI$5)*100</f>
        <v>11.297212902368535</v>
      </c>
      <c r="R32" s="1">
        <f t="shared" ref="R32:R38" si="29">(R12/$AJ$5)*100</f>
        <v>62.386095468790955</v>
      </c>
    </row>
    <row r="33" spans="1:20" x14ac:dyDescent="0.25">
      <c r="B33" t="s">
        <v>14</v>
      </c>
      <c r="C33" s="1">
        <f t="shared" si="14"/>
        <v>0</v>
      </c>
      <c r="D33" s="1">
        <f t="shared" si="15"/>
        <v>0</v>
      </c>
      <c r="E33" s="1">
        <f t="shared" si="16"/>
        <v>0</v>
      </c>
      <c r="F33" s="1">
        <f t="shared" si="17"/>
        <v>0</v>
      </c>
      <c r="G33" s="1">
        <f t="shared" si="18"/>
        <v>0</v>
      </c>
      <c r="H33" s="1">
        <f t="shared" si="19"/>
        <v>42.750933795154154</v>
      </c>
      <c r="I33" s="1">
        <f t="shared" si="20"/>
        <v>48.37197983315383</v>
      </c>
      <c r="J33" s="1">
        <f t="shared" si="21"/>
        <v>9.0153241630643013</v>
      </c>
      <c r="K33" s="1">
        <f t="shared" si="22"/>
        <v>13.921178752570107</v>
      </c>
      <c r="L33" s="1">
        <f t="shared" si="23"/>
        <v>2.8957725806339614</v>
      </c>
      <c r="M33" s="1">
        <f t="shared" si="24"/>
        <v>0</v>
      </c>
      <c r="N33" s="1">
        <f t="shared" si="25"/>
        <v>9.8332482567253887</v>
      </c>
      <c r="O33" s="1">
        <f t="shared" si="26"/>
        <v>0</v>
      </c>
      <c r="P33" s="1">
        <f t="shared" si="27"/>
        <v>0</v>
      </c>
      <c r="Q33" s="1">
        <f t="shared" si="28"/>
        <v>3.0584991529083476</v>
      </c>
      <c r="R33" s="1">
        <f t="shared" si="29"/>
        <v>5.7565957871867548</v>
      </c>
    </row>
    <row r="34" spans="1:20" x14ac:dyDescent="0.25">
      <c r="B34" t="s">
        <v>15</v>
      </c>
      <c r="C34" s="1">
        <f t="shared" si="14"/>
        <v>0</v>
      </c>
      <c r="D34" s="1">
        <f t="shared" si="15"/>
        <v>0</v>
      </c>
      <c r="E34" s="1">
        <f t="shared" si="16"/>
        <v>0</v>
      </c>
      <c r="F34" s="1">
        <f t="shared" si="17"/>
        <v>0</v>
      </c>
      <c r="G34" s="1">
        <f t="shared" si="18"/>
        <v>0</v>
      </c>
      <c r="H34" s="1">
        <f t="shared" si="19"/>
        <v>0</v>
      </c>
      <c r="I34" s="1">
        <f t="shared" si="20"/>
        <v>0.6529534383110478</v>
      </c>
      <c r="J34" s="1">
        <f t="shared" si="21"/>
        <v>0</v>
      </c>
      <c r="K34" s="1">
        <f t="shared" si="22"/>
        <v>0</v>
      </c>
      <c r="L34" s="1">
        <f t="shared" si="23"/>
        <v>0</v>
      </c>
      <c r="M34" s="1">
        <f t="shared" si="24"/>
        <v>0</v>
      </c>
      <c r="N34" s="1">
        <f t="shared" si="25"/>
        <v>0</v>
      </c>
      <c r="O34" s="1">
        <f t="shared" si="26"/>
        <v>0</v>
      </c>
      <c r="P34" s="1">
        <f t="shared" si="27"/>
        <v>0</v>
      </c>
      <c r="Q34" s="1">
        <f t="shared" si="28"/>
        <v>4.5866967854809602</v>
      </c>
      <c r="R34" s="1">
        <f t="shared" si="29"/>
        <v>0</v>
      </c>
    </row>
    <row r="35" spans="1:20" x14ac:dyDescent="0.25">
      <c r="B35" t="s">
        <v>16</v>
      </c>
      <c r="C35" s="1">
        <f t="shared" si="14"/>
        <v>2.7783275048803251</v>
      </c>
      <c r="D35" s="1">
        <f t="shared" si="15"/>
        <v>0</v>
      </c>
      <c r="E35" s="1">
        <f t="shared" si="16"/>
        <v>0</v>
      </c>
      <c r="F35" s="1">
        <f t="shared" si="17"/>
        <v>0</v>
      </c>
      <c r="G35" s="1">
        <f t="shared" si="18"/>
        <v>0</v>
      </c>
      <c r="H35" s="1">
        <f t="shared" si="19"/>
        <v>0</v>
      </c>
      <c r="I35" s="1">
        <f t="shared" si="20"/>
        <v>0</v>
      </c>
      <c r="J35" s="1">
        <f t="shared" si="21"/>
        <v>0</v>
      </c>
      <c r="K35" s="1">
        <f t="shared" si="22"/>
        <v>0</v>
      </c>
      <c r="L35" s="1">
        <f t="shared" si="23"/>
        <v>2.0754626646604493</v>
      </c>
      <c r="M35" s="1">
        <f t="shared" si="24"/>
        <v>0</v>
      </c>
      <c r="N35" s="1">
        <f t="shared" si="25"/>
        <v>0</v>
      </c>
      <c r="O35" s="1">
        <f t="shared" si="26"/>
        <v>0</v>
      </c>
      <c r="P35" s="1">
        <f t="shared" si="27"/>
        <v>3.97540007362654</v>
      </c>
      <c r="Q35" s="1">
        <f t="shared" si="28"/>
        <v>0</v>
      </c>
      <c r="R35" s="1">
        <f t="shared" si="29"/>
        <v>0</v>
      </c>
    </row>
    <row r="36" spans="1:20" x14ac:dyDescent="0.25">
      <c r="B36" t="s">
        <v>17</v>
      </c>
      <c r="C36" s="1">
        <f t="shared" si="14"/>
        <v>0</v>
      </c>
      <c r="D36" s="1">
        <f t="shared" si="15"/>
        <v>0.38441871264059319</v>
      </c>
      <c r="E36" s="1">
        <f t="shared" si="16"/>
        <v>1.3902126289509011</v>
      </c>
      <c r="F36" s="1">
        <f t="shared" si="17"/>
        <v>0</v>
      </c>
      <c r="G36" s="1">
        <f t="shared" si="18"/>
        <v>0</v>
      </c>
      <c r="H36" s="1">
        <f t="shared" si="19"/>
        <v>0</v>
      </c>
      <c r="I36" s="1">
        <f t="shared" si="20"/>
        <v>0</v>
      </c>
      <c r="J36" s="1">
        <f t="shared" si="21"/>
        <v>0</v>
      </c>
      <c r="K36" s="1">
        <f t="shared" si="22"/>
        <v>0</v>
      </c>
      <c r="L36" s="1">
        <f t="shared" si="23"/>
        <v>14.884321500087166</v>
      </c>
      <c r="M36" s="1">
        <f t="shared" si="24"/>
        <v>0</v>
      </c>
      <c r="N36" s="1">
        <f t="shared" si="25"/>
        <v>6.8685712048232466</v>
      </c>
      <c r="O36" s="1">
        <f t="shared" si="26"/>
        <v>0.20855907814557192</v>
      </c>
      <c r="P36" s="1">
        <f t="shared" si="27"/>
        <v>7.4247312992197019</v>
      </c>
      <c r="Q36" s="1">
        <f t="shared" si="28"/>
        <v>7.82906465579289</v>
      </c>
      <c r="R36" s="1">
        <f t="shared" si="29"/>
        <v>0</v>
      </c>
    </row>
    <row r="37" spans="1:20" x14ac:dyDescent="0.25">
      <c r="B37" t="s">
        <v>18</v>
      </c>
      <c r="C37" s="1">
        <f t="shared" si="14"/>
        <v>10.553080908875327</v>
      </c>
      <c r="D37" s="1">
        <f t="shared" si="15"/>
        <v>0</v>
      </c>
      <c r="E37" s="1">
        <f t="shared" si="16"/>
        <v>0</v>
      </c>
      <c r="F37" s="1">
        <f t="shared" si="17"/>
        <v>0</v>
      </c>
      <c r="G37" s="1">
        <f t="shared" si="18"/>
        <v>0</v>
      </c>
      <c r="H37" s="1">
        <f t="shared" si="19"/>
        <v>0</v>
      </c>
      <c r="I37" s="1">
        <f t="shared" si="20"/>
        <v>0</v>
      </c>
      <c r="J37" s="1">
        <f t="shared" si="21"/>
        <v>22.446681348432989</v>
      </c>
      <c r="K37" s="1">
        <f t="shared" si="22"/>
        <v>0</v>
      </c>
      <c r="L37" s="1">
        <f t="shared" si="23"/>
        <v>0</v>
      </c>
      <c r="M37" s="1">
        <f t="shared" si="24"/>
        <v>0</v>
      </c>
      <c r="N37" s="1">
        <f t="shared" si="25"/>
        <v>0</v>
      </c>
      <c r="O37" s="1">
        <f t="shared" si="26"/>
        <v>0</v>
      </c>
      <c r="P37" s="1">
        <f t="shared" si="27"/>
        <v>0</v>
      </c>
      <c r="Q37" s="1">
        <f t="shared" si="28"/>
        <v>0</v>
      </c>
      <c r="R37" s="1">
        <f t="shared" si="29"/>
        <v>0</v>
      </c>
    </row>
    <row r="38" spans="1:20" x14ac:dyDescent="0.25">
      <c r="B38" t="s">
        <v>19</v>
      </c>
      <c r="C38" s="1">
        <f t="shared" si="14"/>
        <v>86.668591586244347</v>
      </c>
      <c r="D38" s="1">
        <f t="shared" si="15"/>
        <v>91.066612956242878</v>
      </c>
      <c r="E38" s="1">
        <f t="shared" si="16"/>
        <v>98.609787371049094</v>
      </c>
      <c r="F38" s="1">
        <f t="shared" si="17"/>
        <v>100</v>
      </c>
      <c r="G38" s="1">
        <f t="shared" si="18"/>
        <v>59.494089716388388</v>
      </c>
      <c r="H38" s="1">
        <f t="shared" si="19"/>
        <v>57.249066204845832</v>
      </c>
      <c r="I38" s="1">
        <f t="shared" si="20"/>
        <v>50.060709604699362</v>
      </c>
      <c r="J38" s="1">
        <f t="shared" si="21"/>
        <v>68.537994488502719</v>
      </c>
      <c r="K38" s="1">
        <f t="shared" si="22"/>
        <v>86.078821247429886</v>
      </c>
      <c r="L38" s="1">
        <f t="shared" si="23"/>
        <v>76.79544442012002</v>
      </c>
      <c r="M38" s="1">
        <f t="shared" si="24"/>
        <v>96.488120341396026</v>
      </c>
      <c r="N38" s="1">
        <f t="shared" si="25"/>
        <v>83.298180538451362</v>
      </c>
      <c r="O38" s="1">
        <f t="shared" si="26"/>
        <v>66.564134829366054</v>
      </c>
      <c r="P38" s="1">
        <f t="shared" si="27"/>
        <v>71.805077343958658</v>
      </c>
      <c r="Q38" s="1">
        <f t="shared" si="28"/>
        <v>73.22852650344926</v>
      </c>
      <c r="R38" s="1">
        <f t="shared" si="29"/>
        <v>37.613904531209037</v>
      </c>
    </row>
    <row r="39" spans="1:20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0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0" x14ac:dyDescent="0.25">
      <c r="A41" t="s">
        <v>43</v>
      </c>
      <c r="B41" t="s">
        <v>37</v>
      </c>
      <c r="C41" s="1">
        <f>SUM(C22:C24)</f>
        <v>0</v>
      </c>
      <c r="D41" s="1">
        <f>SUM(D22:D24)</f>
        <v>0</v>
      </c>
      <c r="E41" s="1">
        <f t="shared" ref="E41:Q41" si="30">SUM(E22:E24)</f>
        <v>17.755293382295495</v>
      </c>
      <c r="F41" s="1">
        <f t="shared" si="30"/>
        <v>29.027919487988129</v>
      </c>
      <c r="G41" s="1">
        <f t="shared" si="30"/>
        <v>64.815458828808616</v>
      </c>
      <c r="H41" s="1">
        <f t="shared" si="30"/>
        <v>71.679190370437979</v>
      </c>
      <c r="I41" s="1">
        <f t="shared" si="30"/>
        <v>43.219884629803559</v>
      </c>
      <c r="J41" s="1">
        <f t="shared" si="30"/>
        <v>0</v>
      </c>
      <c r="K41" s="1">
        <f t="shared" si="30"/>
        <v>27.325728472340703</v>
      </c>
      <c r="L41" s="1">
        <f t="shared" si="30"/>
        <v>0</v>
      </c>
      <c r="M41" s="1">
        <f t="shared" si="30"/>
        <v>0</v>
      </c>
      <c r="N41" s="1">
        <f t="shared" si="30"/>
        <v>0</v>
      </c>
      <c r="O41" s="1">
        <f t="shared" si="30"/>
        <v>0</v>
      </c>
      <c r="P41" s="1">
        <f t="shared" si="30"/>
        <v>0</v>
      </c>
      <c r="Q41" s="1">
        <f t="shared" si="30"/>
        <v>0</v>
      </c>
      <c r="R41" s="1">
        <f>SUM(R22:R24)</f>
        <v>45.439365300308864</v>
      </c>
      <c r="S41" s="1">
        <v>100</v>
      </c>
      <c r="T41" s="1">
        <f t="shared" ref="T41" si="31">SUM(T22:T24)</f>
        <v>0</v>
      </c>
    </row>
    <row r="42" spans="1:20" x14ac:dyDescent="0.25">
      <c r="B42" t="s">
        <v>38</v>
      </c>
      <c r="C42" s="1">
        <f>SUM(C25:C29)</f>
        <v>100</v>
      </c>
      <c r="D42" s="1">
        <f>SUM(D25:D29)</f>
        <v>99.999999999999986</v>
      </c>
      <c r="E42" s="1">
        <f t="shared" ref="E42:T42" si="32">SUM(E25:E29)</f>
        <v>82.244706617704509</v>
      </c>
      <c r="F42" s="1">
        <f t="shared" si="32"/>
        <v>70.972080512011885</v>
      </c>
      <c r="G42" s="1">
        <f t="shared" si="32"/>
        <v>35.184541171191384</v>
      </c>
      <c r="H42" s="1">
        <f t="shared" si="32"/>
        <v>28.320809629562021</v>
      </c>
      <c r="I42" s="1">
        <f t="shared" si="32"/>
        <v>56.780115370196434</v>
      </c>
      <c r="J42" s="1">
        <f t="shared" si="32"/>
        <v>99.999999999999986</v>
      </c>
      <c r="K42" s="1">
        <f t="shared" si="32"/>
        <v>72.6742715276593</v>
      </c>
      <c r="L42" s="1">
        <f t="shared" si="32"/>
        <v>100</v>
      </c>
      <c r="M42" s="1">
        <f t="shared" si="32"/>
        <v>100</v>
      </c>
      <c r="N42" s="1">
        <f t="shared" si="32"/>
        <v>100</v>
      </c>
      <c r="O42" s="1">
        <f t="shared" si="32"/>
        <v>100</v>
      </c>
      <c r="P42" s="1">
        <f t="shared" si="32"/>
        <v>100</v>
      </c>
      <c r="Q42" s="1">
        <f t="shared" si="32"/>
        <v>100</v>
      </c>
      <c r="R42" s="1">
        <f t="shared" si="32"/>
        <v>54.560634699691136</v>
      </c>
      <c r="S42" s="1">
        <v>100</v>
      </c>
      <c r="T42" s="1">
        <f t="shared" si="32"/>
        <v>0</v>
      </c>
    </row>
    <row r="43" spans="1:2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S43" s="1">
        <v>100</v>
      </c>
    </row>
    <row r="44" spans="1:20" x14ac:dyDescent="0.25">
      <c r="A44" t="s">
        <v>44</v>
      </c>
      <c r="B44" t="s">
        <v>37</v>
      </c>
      <c r="C44" s="1">
        <f>SUM(C32:C34)</f>
        <v>0</v>
      </c>
      <c r="D44" s="1">
        <f t="shared" ref="D44:K44" si="33">SUM(D32:D34)</f>
        <v>8.5489683311165265</v>
      </c>
      <c r="E44" s="1">
        <f t="shared" si="33"/>
        <v>0</v>
      </c>
      <c r="F44" s="1">
        <f>SUM(F32:F34)</f>
        <v>0</v>
      </c>
      <c r="G44" s="1">
        <f t="shared" si="33"/>
        <v>40.50591028361162</v>
      </c>
      <c r="H44" s="1">
        <f t="shared" si="33"/>
        <v>42.750933795154154</v>
      </c>
      <c r="I44" s="1">
        <f t="shared" si="33"/>
        <v>49.939290395300645</v>
      </c>
      <c r="J44" s="1">
        <f t="shared" si="33"/>
        <v>9.0153241630643013</v>
      </c>
      <c r="K44" s="1">
        <f t="shared" si="33"/>
        <v>13.921178752570107</v>
      </c>
      <c r="L44" s="1">
        <f>SUM(L32:L34)</f>
        <v>6.2447714151323703</v>
      </c>
      <c r="M44" s="1">
        <f t="shared" ref="M44:T44" si="34">SUM(M32:M34)</f>
        <v>3.5118796586039855</v>
      </c>
      <c r="N44" s="1">
        <f t="shared" si="34"/>
        <v>9.8332482567253887</v>
      </c>
      <c r="O44" s="1">
        <f t="shared" si="34"/>
        <v>33.435865170633946</v>
      </c>
      <c r="P44" s="1">
        <f t="shared" si="34"/>
        <v>16.794791283195103</v>
      </c>
      <c r="Q44" s="1">
        <f t="shared" si="34"/>
        <v>18.942408840757842</v>
      </c>
      <c r="R44" s="1">
        <f t="shared" si="34"/>
        <v>68.142691255977709</v>
      </c>
      <c r="S44" s="1">
        <v>100</v>
      </c>
      <c r="T44" s="1">
        <f t="shared" si="34"/>
        <v>0</v>
      </c>
    </row>
    <row r="45" spans="1:20" x14ac:dyDescent="0.25">
      <c r="B45" t="s">
        <v>38</v>
      </c>
      <c r="C45" s="1">
        <f>SUM(C35:C39)</f>
        <v>100</v>
      </c>
      <c r="D45" s="1">
        <f t="shared" ref="D45:T45" si="35">SUM(D35:D39)</f>
        <v>91.451031668883473</v>
      </c>
      <c r="E45" s="1">
        <f t="shared" si="35"/>
        <v>100</v>
      </c>
      <c r="F45" s="1">
        <f t="shared" si="35"/>
        <v>100</v>
      </c>
      <c r="G45" s="1">
        <f t="shared" si="35"/>
        <v>59.494089716388388</v>
      </c>
      <c r="H45" s="1">
        <f t="shared" si="35"/>
        <v>57.249066204845832</v>
      </c>
      <c r="I45" s="1">
        <f t="shared" si="35"/>
        <v>50.060709604699362</v>
      </c>
      <c r="J45" s="1">
        <f t="shared" si="35"/>
        <v>90.984675836935708</v>
      </c>
      <c r="K45" s="1">
        <f t="shared" si="35"/>
        <v>86.078821247429886</v>
      </c>
      <c r="L45" s="1">
        <f t="shared" si="35"/>
        <v>93.755228584867638</v>
      </c>
      <c r="M45" s="1">
        <f t="shared" si="35"/>
        <v>96.488120341396026</v>
      </c>
      <c r="N45" s="1">
        <f t="shared" si="35"/>
        <v>90.166751743274602</v>
      </c>
      <c r="O45" s="1">
        <f t="shared" si="35"/>
        <v>66.772693907511623</v>
      </c>
      <c r="P45" s="1">
        <f t="shared" si="35"/>
        <v>83.205208716804904</v>
      </c>
      <c r="Q45" s="1">
        <f t="shared" si="35"/>
        <v>81.057591159242151</v>
      </c>
      <c r="R45" s="1">
        <f t="shared" si="35"/>
        <v>37.613904531209037</v>
      </c>
      <c r="S45" s="1">
        <v>100</v>
      </c>
      <c r="T45" s="1">
        <f t="shared" si="35"/>
        <v>0</v>
      </c>
    </row>
    <row r="47" spans="1:20" x14ac:dyDescent="0.25">
      <c r="A47" t="s">
        <v>43</v>
      </c>
      <c r="B47" t="s">
        <v>45</v>
      </c>
      <c r="C47" s="1">
        <f>C23+C24+C26+C28+C29</f>
        <v>100</v>
      </c>
      <c r="D47" s="1">
        <f t="shared" ref="D47:T47" si="36">D23+D24+D26+D28+D29</f>
        <v>85.300889203459178</v>
      </c>
      <c r="E47" s="1">
        <f t="shared" si="36"/>
        <v>82.244706617704509</v>
      </c>
      <c r="F47" s="1">
        <f t="shared" si="36"/>
        <v>100.00000000000001</v>
      </c>
      <c r="G47" s="1">
        <f>G23+G24+G26+G28+G29</f>
        <v>62.835988332959388</v>
      </c>
      <c r="H47" s="1">
        <f>H23+H24+H26+H28+H29</f>
        <v>98.538732215833619</v>
      </c>
      <c r="I47" s="1">
        <f t="shared" si="36"/>
        <v>93.472433295306587</v>
      </c>
      <c r="J47" s="1">
        <f t="shared" si="36"/>
        <v>94.257383817354167</v>
      </c>
      <c r="K47" s="1">
        <f t="shared" si="36"/>
        <v>95.765163147604511</v>
      </c>
      <c r="L47" s="1">
        <f t="shared" si="36"/>
        <v>100</v>
      </c>
      <c r="M47" s="1">
        <f t="shared" si="36"/>
        <v>100</v>
      </c>
      <c r="N47" s="1">
        <f t="shared" si="36"/>
        <v>100</v>
      </c>
      <c r="O47" s="1">
        <f t="shared" si="36"/>
        <v>100</v>
      </c>
      <c r="P47" s="1">
        <f t="shared" si="36"/>
        <v>100</v>
      </c>
      <c r="Q47" s="1">
        <f t="shared" si="36"/>
        <v>91.150504545450133</v>
      </c>
      <c r="R47" s="1">
        <f t="shared" si="36"/>
        <v>63.179525615862659</v>
      </c>
      <c r="S47" s="1">
        <v>100</v>
      </c>
      <c r="T47" s="1">
        <f t="shared" si="36"/>
        <v>0</v>
      </c>
    </row>
    <row r="48" spans="1:20" x14ac:dyDescent="0.25">
      <c r="B48" t="s">
        <v>46</v>
      </c>
      <c r="C48" s="1">
        <f>C22+C25+C27</f>
        <v>0</v>
      </c>
      <c r="D48" s="1">
        <f t="shared" ref="D48:T48" si="37">D22+D25+D27</f>
        <v>14.699110796540813</v>
      </c>
      <c r="E48" s="1">
        <f t="shared" si="37"/>
        <v>17.755293382295495</v>
      </c>
      <c r="F48" s="1">
        <f t="shared" si="37"/>
        <v>0</v>
      </c>
      <c r="G48" s="1">
        <f t="shared" si="37"/>
        <v>37.164011667040612</v>
      </c>
      <c r="H48" s="1">
        <f>H22+H25+H27</f>
        <v>1.4612677841663879</v>
      </c>
      <c r="I48" s="1">
        <f>I22+I25+I27</f>
        <v>6.527566704693414</v>
      </c>
      <c r="J48" s="1">
        <f t="shared" si="37"/>
        <v>5.7426161826458237</v>
      </c>
      <c r="K48" s="1">
        <f t="shared" si="37"/>
        <v>4.2348368523954916</v>
      </c>
      <c r="L48" s="1">
        <f t="shared" si="37"/>
        <v>0</v>
      </c>
      <c r="M48" s="1">
        <f t="shared" si="37"/>
        <v>0</v>
      </c>
      <c r="N48" s="1">
        <f t="shared" si="37"/>
        <v>0</v>
      </c>
      <c r="O48" s="1">
        <f t="shared" si="37"/>
        <v>0</v>
      </c>
      <c r="P48" s="1">
        <f t="shared" si="37"/>
        <v>0</v>
      </c>
      <c r="Q48" s="1">
        <f t="shared" si="37"/>
        <v>8.8494954545498619</v>
      </c>
      <c r="R48" s="1">
        <f t="shared" si="37"/>
        <v>36.820474384137341</v>
      </c>
      <c r="S48" s="1">
        <v>100</v>
      </c>
      <c r="T48" s="1">
        <f t="shared" si="37"/>
        <v>0</v>
      </c>
    </row>
    <row r="50" spans="1:20" x14ac:dyDescent="0.25">
      <c r="A50" t="s">
        <v>44</v>
      </c>
      <c r="B50" t="s">
        <v>45</v>
      </c>
      <c r="C50" s="1">
        <f>C33+C34+C36+C38+C39</f>
        <v>86.668591586244347</v>
      </c>
      <c r="D50" s="1">
        <f t="shared" ref="D50:T50" si="38">D33+D34+D36+D38+D39</f>
        <v>91.451031668883473</v>
      </c>
      <c r="E50" s="1">
        <f t="shared" si="38"/>
        <v>100</v>
      </c>
      <c r="F50" s="1">
        <f t="shared" si="38"/>
        <v>100</v>
      </c>
      <c r="G50" s="1">
        <f t="shared" si="38"/>
        <v>59.494089716388388</v>
      </c>
      <c r="H50" s="1">
        <f t="shared" si="38"/>
        <v>99.999999999999986</v>
      </c>
      <c r="I50" s="1">
        <f t="shared" si="38"/>
        <v>99.085642876164229</v>
      </c>
      <c r="J50" s="1">
        <f t="shared" si="38"/>
        <v>77.553318651567025</v>
      </c>
      <c r="K50" s="1">
        <f t="shared" si="38"/>
        <v>100</v>
      </c>
      <c r="L50" s="1">
        <f t="shared" si="38"/>
        <v>94.575538500841148</v>
      </c>
      <c r="M50" s="1">
        <f t="shared" si="38"/>
        <v>96.488120341396026</v>
      </c>
      <c r="N50" s="1">
        <f t="shared" si="38"/>
        <v>100</v>
      </c>
      <c r="O50" s="1">
        <f t="shared" si="38"/>
        <v>66.772693907511623</v>
      </c>
      <c r="P50" s="1">
        <f t="shared" si="38"/>
        <v>79.229808643178359</v>
      </c>
      <c r="Q50" s="1">
        <f t="shared" si="38"/>
        <v>88.702787097631457</v>
      </c>
      <c r="R50" s="1">
        <f t="shared" si="38"/>
        <v>43.370500318395791</v>
      </c>
      <c r="S50" s="1">
        <v>100</v>
      </c>
      <c r="T50" s="1">
        <f t="shared" si="38"/>
        <v>0</v>
      </c>
    </row>
    <row r="51" spans="1:20" x14ac:dyDescent="0.25">
      <c r="B51" t="s">
        <v>46</v>
      </c>
      <c r="C51" s="1">
        <f>C32+C35+C37</f>
        <v>13.331408413755652</v>
      </c>
      <c r="D51" s="1">
        <f t="shared" ref="D51:T51" si="39">D32+D35+D37</f>
        <v>8.5489683311165265</v>
      </c>
      <c r="E51" s="1">
        <f t="shared" si="39"/>
        <v>0</v>
      </c>
      <c r="F51" s="1">
        <f t="shared" si="39"/>
        <v>0</v>
      </c>
      <c r="G51" s="1">
        <f t="shared" si="39"/>
        <v>40.50591028361162</v>
      </c>
      <c r="H51" s="1">
        <f t="shared" si="39"/>
        <v>0</v>
      </c>
      <c r="I51" s="1">
        <f t="shared" si="39"/>
        <v>0.91435712383576861</v>
      </c>
      <c r="J51" s="1">
        <f t="shared" si="39"/>
        <v>22.446681348432989</v>
      </c>
      <c r="K51" s="1">
        <f t="shared" si="39"/>
        <v>0</v>
      </c>
      <c r="L51" s="1">
        <f t="shared" si="39"/>
        <v>5.4244614991588582</v>
      </c>
      <c r="M51" s="1">
        <f t="shared" si="39"/>
        <v>3.5118796586039855</v>
      </c>
      <c r="N51" s="1">
        <f t="shared" si="39"/>
        <v>0</v>
      </c>
      <c r="O51" s="1">
        <f t="shared" si="39"/>
        <v>33.435865170633946</v>
      </c>
      <c r="P51" s="1">
        <f t="shared" si="39"/>
        <v>20.770191356821641</v>
      </c>
      <c r="Q51" s="1">
        <f>Q32+Q35+Q37</f>
        <v>11.297212902368535</v>
      </c>
      <c r="R51" s="1">
        <f t="shared" si="39"/>
        <v>62.386095468790955</v>
      </c>
      <c r="S51" s="1">
        <v>100</v>
      </c>
      <c r="T51" s="1">
        <f t="shared" si="39"/>
        <v>0</v>
      </c>
    </row>
    <row r="53" spans="1:20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20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6" spans="1:20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20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</sheetData>
  <conditionalFormatting sqref="C44:R44 T44">
    <cfRule type="colorScale" priority="15">
      <colorScale>
        <cfvo type="min"/>
        <cfvo type="max"/>
        <color rgb="FFFCFCFF"/>
        <color rgb="FF63BE7B"/>
      </colorScale>
    </cfRule>
  </conditionalFormatting>
  <conditionalFormatting sqref="C53:R53 C56:R56">
    <cfRule type="colorScale" priority="5">
      <colorScale>
        <cfvo type="min"/>
        <cfvo type="percentile" val="50"/>
        <cfvo type="max"/>
        <color theme="0"/>
        <color rgb="FFFCBAF9"/>
        <color rgb="FFF747EF"/>
      </colorScale>
    </cfRule>
  </conditionalFormatting>
  <conditionalFormatting sqref="C54:R54 C57:R57">
    <cfRule type="colorScale" priority="3">
      <colorScale>
        <cfvo type="min"/>
        <cfvo type="percentile" val="50"/>
        <cfvo type="max"/>
        <color theme="0"/>
        <color rgb="FFC6C7F6"/>
        <color rgb="FF595CE5"/>
      </colorScale>
    </cfRule>
    <cfRule type="colorScale" priority="4">
      <colorScale>
        <cfvo type="min"/>
        <cfvo type="percentile" val="50"/>
        <cfvo type="max"/>
        <color theme="0"/>
        <color rgb="FFF2FA8A"/>
        <color rgb="FFE5F513"/>
      </colorScale>
    </cfRule>
  </conditionalFormatting>
  <conditionalFormatting sqref="C41:T41 S43:S44">
    <cfRule type="colorScale" priority="17">
      <colorScale>
        <cfvo type="min"/>
        <cfvo type="max"/>
        <color rgb="FFFCFCFF"/>
        <color rgb="FF63BE7B"/>
      </colorScale>
    </cfRule>
  </conditionalFormatting>
  <conditionalFormatting sqref="C42:T42">
    <cfRule type="colorScale" priority="16">
      <colorScale>
        <cfvo type="min"/>
        <cfvo type="max"/>
        <color rgb="FFFCFCFF"/>
        <color rgb="FFF8696B"/>
      </colorScale>
    </cfRule>
  </conditionalFormatting>
  <conditionalFormatting sqref="C45:T45">
    <cfRule type="colorScale" priority="14">
      <colorScale>
        <cfvo type="min"/>
        <cfvo type="max"/>
        <color rgb="FFFCFCFF"/>
        <color rgb="FFF8696B"/>
      </colorScale>
    </cfRule>
  </conditionalFormatting>
  <conditionalFormatting sqref="C47:T47">
    <cfRule type="colorScale" priority="9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13">
      <colorScale>
        <cfvo type="min"/>
        <cfvo type="max"/>
        <color rgb="FFFCFCFF"/>
        <color rgb="FF63BE7B"/>
      </colorScale>
    </cfRule>
  </conditionalFormatting>
  <conditionalFormatting sqref="C48:T48 C51:T51">
    <cfRule type="colorScale" priority="1">
      <colorScale>
        <cfvo type="min"/>
        <cfvo type="percentile" val="50"/>
        <cfvo type="max"/>
        <color theme="0"/>
        <color theme="7" tint="0.79998168889431442"/>
        <color rgb="FF0070C0"/>
      </colorScale>
    </cfRule>
  </conditionalFormatting>
  <conditionalFormatting sqref="C48:T48">
    <cfRule type="colorScale" priority="7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2">
      <colorScale>
        <cfvo type="min"/>
        <cfvo type="max"/>
        <color rgb="FFFCFCFF"/>
        <color rgb="FFF8696B"/>
      </colorScale>
    </cfRule>
  </conditionalFormatting>
  <conditionalFormatting sqref="C50:T50">
    <cfRule type="colorScale" priority="8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C51:T51">
    <cfRule type="colorScale" priority="6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0">
      <colorScale>
        <cfvo type="min"/>
        <cfvo type="max"/>
        <color rgb="FFFCFCFF"/>
        <color rgb="FFF8696B"/>
      </colorScale>
    </cfRule>
  </conditionalFormatting>
  <conditionalFormatting sqref="M41:T41 M44:R44 T44 S43:S44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E38F-7825-42E3-9A9E-C58166F211CE}">
  <dimension ref="A1:AL57"/>
  <sheetViews>
    <sheetView zoomScale="55" zoomScaleNormal="55" workbookViewId="0">
      <selection activeCell="R1" sqref="R1:S2"/>
    </sheetView>
  </sheetViews>
  <sheetFormatPr defaultRowHeight="15" x14ac:dyDescent="0.25"/>
  <sheetData>
    <row r="1" spans="1:38" x14ac:dyDescent="0.25">
      <c r="B1" t="s">
        <v>102</v>
      </c>
      <c r="C1" t="s">
        <v>101</v>
      </c>
      <c r="D1" t="s">
        <v>100</v>
      </c>
      <c r="E1" t="s">
        <v>99</v>
      </c>
      <c r="F1" t="s">
        <v>98</v>
      </c>
      <c r="G1" t="s">
        <v>97</v>
      </c>
      <c r="H1" t="s">
        <v>96</v>
      </c>
      <c r="I1" t="s">
        <v>95</v>
      </c>
      <c r="J1" t="s">
        <v>94</v>
      </c>
      <c r="K1" t="s">
        <v>93</v>
      </c>
      <c r="R1" s="15" t="s">
        <v>103</v>
      </c>
      <c r="S1" s="15">
        <v>8.0399999999999991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25">
      <c r="A2" t="s">
        <v>13</v>
      </c>
      <c r="B2">
        <v>0</v>
      </c>
      <c r="C2">
        <v>0.98199999999999998</v>
      </c>
      <c r="D2">
        <v>0</v>
      </c>
      <c r="E2">
        <v>2.82</v>
      </c>
      <c r="F2">
        <f>1.339+0.281</f>
        <v>1.62</v>
      </c>
      <c r="G2">
        <v>1.587</v>
      </c>
      <c r="H2">
        <v>0</v>
      </c>
      <c r="I2">
        <v>0</v>
      </c>
      <c r="J2">
        <v>2.5470000000000002</v>
      </c>
      <c r="K2">
        <v>1.621</v>
      </c>
      <c r="R2" s="15"/>
      <c r="S2" s="15">
        <v>10.374000000000001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25">
      <c r="A3" t="s">
        <v>14</v>
      </c>
      <c r="B3">
        <v>0</v>
      </c>
      <c r="C3">
        <v>0</v>
      </c>
      <c r="D3">
        <v>0</v>
      </c>
      <c r="E3">
        <v>2.629</v>
      </c>
      <c r="F3">
        <f>5.142-1.339</f>
        <v>3.8030000000000004</v>
      </c>
      <c r="G3">
        <v>2.0950000000000002</v>
      </c>
      <c r="H3">
        <v>0</v>
      </c>
      <c r="I3">
        <v>0.98599999999999999</v>
      </c>
      <c r="J3">
        <v>0</v>
      </c>
      <c r="K3">
        <v>1.3460000000000001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25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1.264</v>
      </c>
      <c r="I4">
        <v>0</v>
      </c>
      <c r="J4">
        <v>0</v>
      </c>
      <c r="K4">
        <v>0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5">
      <c r="A5" t="s">
        <v>16</v>
      </c>
      <c r="B5">
        <v>0</v>
      </c>
      <c r="C5">
        <v>0.95299999999999996</v>
      </c>
      <c r="D5">
        <v>0</v>
      </c>
      <c r="E5">
        <v>0</v>
      </c>
      <c r="F5">
        <v>0</v>
      </c>
      <c r="G5">
        <v>0.69699999999999995</v>
      </c>
      <c r="H5">
        <v>0.46200000000000002</v>
      </c>
      <c r="I5">
        <v>0.46200000000000002</v>
      </c>
      <c r="J5">
        <v>0.5</v>
      </c>
      <c r="K5">
        <v>0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25">
      <c r="A6" t="s">
        <v>17</v>
      </c>
      <c r="B6">
        <v>0</v>
      </c>
      <c r="C6">
        <v>0.25900000000000001</v>
      </c>
      <c r="D6">
        <v>0</v>
      </c>
      <c r="E6">
        <v>0</v>
      </c>
      <c r="F6">
        <v>0</v>
      </c>
      <c r="G6">
        <v>0</v>
      </c>
      <c r="H6">
        <f>0.264+0.287</f>
        <v>0.55099999999999993</v>
      </c>
      <c r="I6">
        <v>0.28699999999999998</v>
      </c>
      <c r="J6">
        <f>0.4+0.251</f>
        <v>0.65100000000000002</v>
      </c>
      <c r="K6">
        <v>0</v>
      </c>
    </row>
    <row r="7" spans="1:38" x14ac:dyDescent="0.25">
      <c r="A7" t="s">
        <v>18</v>
      </c>
      <c r="B7">
        <v>0.57599999999999996</v>
      </c>
      <c r="C7">
        <v>0</v>
      </c>
      <c r="D7">
        <v>0</v>
      </c>
      <c r="E7">
        <v>0</v>
      </c>
      <c r="F7">
        <v>0</v>
      </c>
      <c r="G7">
        <v>0</v>
      </c>
      <c r="H7">
        <v>1.3280000000000001</v>
      </c>
      <c r="I7">
        <v>0</v>
      </c>
      <c r="J7">
        <v>0</v>
      </c>
      <c r="K7">
        <v>0</v>
      </c>
      <c r="W7" s="1"/>
      <c r="X7" s="1"/>
      <c r="Y7" s="1"/>
      <c r="Z7" s="1"/>
    </row>
    <row r="8" spans="1:38" x14ac:dyDescent="0.25">
      <c r="A8" t="s">
        <v>19</v>
      </c>
      <c r="B8">
        <f>3.44+1.639</f>
        <v>5.0789999999999997</v>
      </c>
      <c r="C8">
        <v>2.0630000000000002</v>
      </c>
      <c r="D8">
        <v>0.17100000000000001</v>
      </c>
      <c r="E8">
        <v>0</v>
      </c>
      <c r="F8">
        <v>0</v>
      </c>
      <c r="G8">
        <v>2.1389999999999998</v>
      </c>
      <c r="H8">
        <v>1.718</v>
      </c>
      <c r="I8">
        <v>0</v>
      </c>
      <c r="J8">
        <v>0</v>
      </c>
      <c r="K8">
        <v>0</v>
      </c>
      <c r="W8" s="1"/>
      <c r="X8" s="1"/>
      <c r="Y8" s="1"/>
      <c r="Z8" s="1"/>
    </row>
    <row r="9" spans="1:38" x14ac:dyDescent="0.25">
      <c r="A9" t="s">
        <v>20</v>
      </c>
      <c r="B9">
        <f>8.04-B8-B7</f>
        <v>2.3849999999999993</v>
      </c>
      <c r="C9">
        <f>8.04-SUM(C2:C8)</f>
        <v>3.7829999999999995</v>
      </c>
      <c r="D9">
        <f>8.04-D8</f>
        <v>7.8689999999999989</v>
      </c>
      <c r="E9">
        <f>8.04-SUM(E2:E3)</f>
        <v>2.5909999999999993</v>
      </c>
      <c r="F9">
        <f>8.04-SUM(F2:F3)</f>
        <v>2.6169999999999991</v>
      </c>
      <c r="G9">
        <f>8.04-SUM(G2:G8)</f>
        <v>1.5219999999999985</v>
      </c>
      <c r="H9">
        <f>8.04-SUM(H2:H8)</f>
        <v>2.7169999999999987</v>
      </c>
      <c r="I9">
        <f>8.04-SUM(I2:I7)</f>
        <v>6.3049999999999997</v>
      </c>
      <c r="J9">
        <f>8.04-SUM(J2:J7)</f>
        <v>4.3419999999999987</v>
      </c>
      <c r="K9">
        <f>8.04-SUM(K2:K3)</f>
        <v>5.0729999999999986</v>
      </c>
    </row>
    <row r="11" spans="1:38" x14ac:dyDescent="0.25">
      <c r="B11" t="s">
        <v>92</v>
      </c>
      <c r="C11" t="s">
        <v>91</v>
      </c>
      <c r="D11" t="s">
        <v>90</v>
      </c>
      <c r="E11" t="s">
        <v>89</v>
      </c>
      <c r="F11" t="s">
        <v>88</v>
      </c>
      <c r="G11" t="s">
        <v>87</v>
      </c>
      <c r="H11" t="s">
        <v>86</v>
      </c>
      <c r="I11" t="s">
        <v>85</v>
      </c>
      <c r="J11" t="s">
        <v>84</v>
      </c>
      <c r="K11" t="s">
        <v>83</v>
      </c>
    </row>
    <row r="12" spans="1:38" x14ac:dyDescent="0.25">
      <c r="A12" t="s">
        <v>13</v>
      </c>
      <c r="B12">
        <v>2.613</v>
      </c>
      <c r="C12">
        <v>0.63100000000000001</v>
      </c>
      <c r="D12">
        <v>2.9969999999999999</v>
      </c>
      <c r="E12">
        <v>1.2430000000000001</v>
      </c>
      <c r="F12">
        <v>0</v>
      </c>
      <c r="G12">
        <v>0</v>
      </c>
      <c r="H12">
        <v>1.0720000000000001</v>
      </c>
      <c r="I12">
        <v>2.456</v>
      </c>
      <c r="J12">
        <v>1.3580000000000001</v>
      </c>
      <c r="K12">
        <v>3.5019999999999998</v>
      </c>
    </row>
    <row r="13" spans="1:38" x14ac:dyDescent="0.25">
      <c r="A13" t="s">
        <v>14</v>
      </c>
      <c r="B13">
        <v>0</v>
      </c>
      <c r="C13">
        <v>0</v>
      </c>
      <c r="D13">
        <v>0</v>
      </c>
      <c r="E13">
        <v>2.5979999999999999</v>
      </c>
      <c r="F13">
        <f>2.431+0.655</f>
        <v>3.0860000000000003</v>
      </c>
      <c r="G13">
        <v>1.099</v>
      </c>
      <c r="H13">
        <v>0.51400000000000001</v>
      </c>
      <c r="I13">
        <v>1.889</v>
      </c>
      <c r="J13">
        <v>0</v>
      </c>
      <c r="K13">
        <v>1.133</v>
      </c>
    </row>
    <row r="14" spans="1:38" x14ac:dyDescent="0.25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1.304</v>
      </c>
    </row>
    <row r="15" spans="1:38" x14ac:dyDescent="0.25">
      <c r="A15" t="s">
        <v>16</v>
      </c>
      <c r="B15">
        <v>1.3280000000000001</v>
      </c>
      <c r="C15">
        <v>0</v>
      </c>
      <c r="D15">
        <v>0</v>
      </c>
      <c r="E15">
        <v>0</v>
      </c>
      <c r="F15">
        <v>0</v>
      </c>
      <c r="G15">
        <v>0</v>
      </c>
      <c r="H15">
        <v>0.46800000000000003</v>
      </c>
      <c r="I15">
        <v>0</v>
      </c>
      <c r="J15">
        <v>0.504</v>
      </c>
      <c r="K15">
        <v>0</v>
      </c>
    </row>
    <row r="16" spans="1:38" x14ac:dyDescent="0.25">
      <c r="A16" t="s">
        <v>17</v>
      </c>
      <c r="B16">
        <v>0</v>
      </c>
      <c r="C16">
        <f>0.859+0.759+0.59</f>
        <v>2.2079999999999997</v>
      </c>
      <c r="D16">
        <v>0</v>
      </c>
      <c r="E16">
        <v>0</v>
      </c>
      <c r="F16">
        <v>0</v>
      </c>
      <c r="G16">
        <v>1.079</v>
      </c>
      <c r="H16">
        <v>1.4390000000000001</v>
      </c>
      <c r="I16">
        <v>0.44700000000000001</v>
      </c>
      <c r="J16">
        <f>0.455+0.299</f>
        <v>0.754</v>
      </c>
      <c r="K16">
        <v>0.438</v>
      </c>
    </row>
    <row r="17" spans="1:36" x14ac:dyDescent="0.25">
      <c r="A17" t="s">
        <v>18</v>
      </c>
      <c r="B17">
        <v>0</v>
      </c>
      <c r="C17">
        <v>0</v>
      </c>
      <c r="D17">
        <v>0</v>
      </c>
      <c r="E17">
        <v>0</v>
      </c>
      <c r="F17">
        <v>1.0629999999999999</v>
      </c>
      <c r="G17">
        <v>0</v>
      </c>
      <c r="H17">
        <v>0</v>
      </c>
      <c r="I17">
        <v>0</v>
      </c>
      <c r="J17">
        <v>0</v>
      </c>
      <c r="K17">
        <v>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25">
      <c r="A18" t="s">
        <v>19</v>
      </c>
      <c r="B18">
        <f>10.374-(B12+B15+B19)</f>
        <v>5.7600000000000007</v>
      </c>
      <c r="C18">
        <f>10.374-(C12+C16+C19)</f>
        <v>6.7630000000000008</v>
      </c>
      <c r="D18">
        <v>1.7769999999999999</v>
      </c>
      <c r="E18">
        <f>10.374-SUM(E12:E16)</f>
        <v>6.5330000000000004</v>
      </c>
      <c r="F18">
        <f>3.297+2.572</f>
        <v>5.8689999999999998</v>
      </c>
      <c r="G18">
        <f>S2-(G13+G16+G19)</f>
        <v>7.423</v>
      </c>
      <c r="H18">
        <f>S2-(H12+H13+H15+H16+H19)</f>
        <v>1.9000000000000004</v>
      </c>
      <c r="I18">
        <f>S2-(I12+I13+I16+I19)</f>
        <v>4.1510000000000007</v>
      </c>
      <c r="J18">
        <v>0</v>
      </c>
      <c r="K18">
        <v>1.403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25">
      <c r="A19" t="s">
        <v>20</v>
      </c>
      <c r="B19">
        <v>0.67300000000000004</v>
      </c>
      <c r="C19">
        <v>0.77200000000000002</v>
      </c>
      <c r="D19">
        <v>5.6589999999999998</v>
      </c>
      <c r="E19">
        <v>0</v>
      </c>
      <c r="F19">
        <v>0.77300000000000002</v>
      </c>
      <c r="G19">
        <v>0.77300000000000002</v>
      </c>
      <c r="H19">
        <v>4.9809999999999999</v>
      </c>
      <c r="I19">
        <v>1.431</v>
      </c>
      <c r="J19">
        <f>S2-SUM(J12:J16)</f>
        <v>7.7580000000000009</v>
      </c>
      <c r="K19">
        <v>2.3849999999999998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5"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B21" t="s">
        <v>102</v>
      </c>
      <c r="C21" t="s">
        <v>101</v>
      </c>
      <c r="D21" t="s">
        <v>100</v>
      </c>
      <c r="E21" t="s">
        <v>99</v>
      </c>
      <c r="F21" t="s">
        <v>98</v>
      </c>
      <c r="G21" t="s">
        <v>97</v>
      </c>
      <c r="H21" t="s">
        <v>96</v>
      </c>
      <c r="I21" t="s">
        <v>95</v>
      </c>
      <c r="J21" t="s">
        <v>94</v>
      </c>
      <c r="K21" t="s">
        <v>93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25">
      <c r="A22" t="s">
        <v>13</v>
      </c>
      <c r="B22" s="1">
        <f t="shared" ref="B22:K22" si="0">(B2/$S$1)*100</f>
        <v>0</v>
      </c>
      <c r="C22" s="1">
        <f t="shared" si="0"/>
        <v>12.213930348258707</v>
      </c>
      <c r="D22" s="1">
        <f t="shared" si="0"/>
        <v>0</v>
      </c>
      <c r="E22" s="1">
        <f t="shared" si="0"/>
        <v>35.074626865671647</v>
      </c>
      <c r="F22" s="1">
        <f t="shared" si="0"/>
        <v>20.149253731343286</v>
      </c>
      <c r="G22" s="1">
        <f t="shared" si="0"/>
        <v>19.738805970149258</v>
      </c>
      <c r="H22" s="1">
        <f t="shared" si="0"/>
        <v>0</v>
      </c>
      <c r="I22" s="1">
        <f t="shared" si="0"/>
        <v>0</v>
      </c>
      <c r="J22" s="1">
        <f t="shared" si="0"/>
        <v>31.679104477611947</v>
      </c>
      <c r="K22" s="1">
        <f t="shared" si="0"/>
        <v>20.161691542288558</v>
      </c>
      <c r="L22" s="1"/>
      <c r="M22" s="1"/>
      <c r="N22" s="1"/>
      <c r="O22" s="1"/>
      <c r="P22" s="1"/>
      <c r="Q22" s="1"/>
    </row>
    <row r="23" spans="1:36" x14ac:dyDescent="0.25">
      <c r="A23" t="s">
        <v>14</v>
      </c>
      <c r="B23" s="1">
        <f t="shared" ref="B23:K23" si="1">(B3/$S$1)*100</f>
        <v>0</v>
      </c>
      <c r="C23" s="1">
        <f t="shared" si="1"/>
        <v>0</v>
      </c>
      <c r="D23" s="1">
        <f t="shared" si="1"/>
        <v>0</v>
      </c>
      <c r="E23" s="1">
        <f t="shared" si="1"/>
        <v>32.699004975124382</v>
      </c>
      <c r="F23" s="1">
        <f t="shared" si="1"/>
        <v>47.300995024875633</v>
      </c>
      <c r="G23" s="1">
        <f t="shared" si="1"/>
        <v>26.057213930348265</v>
      </c>
      <c r="H23" s="1">
        <f t="shared" si="1"/>
        <v>0</v>
      </c>
      <c r="I23" s="1">
        <f t="shared" si="1"/>
        <v>12.263681592039802</v>
      </c>
      <c r="J23" s="1">
        <f t="shared" si="1"/>
        <v>0</v>
      </c>
      <c r="K23" s="1">
        <f t="shared" si="1"/>
        <v>16.741293532338311</v>
      </c>
      <c r="L23" s="1"/>
      <c r="M23" s="1"/>
      <c r="N23" s="1"/>
      <c r="O23" s="1"/>
      <c r="P23" s="1"/>
      <c r="Q23" s="1"/>
    </row>
    <row r="24" spans="1:36" x14ac:dyDescent="0.25">
      <c r="A24" t="s">
        <v>15</v>
      </c>
      <c r="B24" s="1">
        <f t="shared" ref="B24:K24" si="2">(B4/$S$1)*100</f>
        <v>0</v>
      </c>
      <c r="C24" s="1">
        <f t="shared" si="2"/>
        <v>0</v>
      </c>
      <c r="D24" s="1">
        <f t="shared" si="2"/>
        <v>0</v>
      </c>
      <c r="E24" s="1">
        <f t="shared" si="2"/>
        <v>0</v>
      </c>
      <c r="F24" s="1">
        <f t="shared" si="2"/>
        <v>0</v>
      </c>
      <c r="G24" s="1">
        <f t="shared" si="2"/>
        <v>0</v>
      </c>
      <c r="H24" s="1">
        <f t="shared" si="2"/>
        <v>15.721393034825873</v>
      </c>
      <c r="I24" s="1">
        <f t="shared" si="2"/>
        <v>0</v>
      </c>
      <c r="J24" s="1">
        <f t="shared" si="2"/>
        <v>0</v>
      </c>
      <c r="K24" s="1">
        <f t="shared" si="2"/>
        <v>0</v>
      </c>
      <c r="L24" s="1"/>
      <c r="M24" s="1"/>
      <c r="N24" s="1"/>
      <c r="O24" s="1"/>
      <c r="P24" s="1"/>
      <c r="Q24" s="1"/>
    </row>
    <row r="25" spans="1:36" x14ac:dyDescent="0.25">
      <c r="A25" t="s">
        <v>16</v>
      </c>
      <c r="B25" s="1">
        <f t="shared" ref="B25:K25" si="3">(B5/$S$1)*100</f>
        <v>0</v>
      </c>
      <c r="C25" s="1">
        <f t="shared" si="3"/>
        <v>11.853233830845772</v>
      </c>
      <c r="D25" s="1">
        <f t="shared" si="3"/>
        <v>0</v>
      </c>
      <c r="E25" s="1">
        <f t="shared" si="3"/>
        <v>0</v>
      </c>
      <c r="F25" s="1">
        <f t="shared" si="3"/>
        <v>0</v>
      </c>
      <c r="G25" s="1">
        <f t="shared" si="3"/>
        <v>8.6691542288557208</v>
      </c>
      <c r="H25" s="1">
        <f t="shared" si="3"/>
        <v>5.7462686567164187</v>
      </c>
      <c r="I25" s="1">
        <f t="shared" si="3"/>
        <v>5.7462686567164187</v>
      </c>
      <c r="J25" s="1">
        <f t="shared" si="3"/>
        <v>6.2189054726368171</v>
      </c>
      <c r="K25" s="1">
        <f t="shared" si="3"/>
        <v>0</v>
      </c>
      <c r="L25" s="1"/>
      <c r="M25" s="1"/>
      <c r="N25" s="1"/>
      <c r="O25" s="1"/>
      <c r="P25" s="1"/>
      <c r="Q25" s="1"/>
    </row>
    <row r="26" spans="1:36" x14ac:dyDescent="0.25">
      <c r="A26" t="s">
        <v>17</v>
      </c>
      <c r="B26" s="1">
        <f t="shared" ref="B26:K26" si="4">(B6/$S$1)*100</f>
        <v>0</v>
      </c>
      <c r="C26" s="1">
        <f t="shared" si="4"/>
        <v>3.221393034825871</v>
      </c>
      <c r="D26" s="1">
        <f t="shared" si="4"/>
        <v>0</v>
      </c>
      <c r="E26" s="1">
        <f t="shared" si="4"/>
        <v>0</v>
      </c>
      <c r="F26" s="1">
        <f t="shared" si="4"/>
        <v>0</v>
      </c>
      <c r="G26" s="1">
        <f t="shared" si="4"/>
        <v>0</v>
      </c>
      <c r="H26" s="1">
        <f t="shared" si="4"/>
        <v>6.8532338308457712</v>
      </c>
      <c r="I26" s="1">
        <f t="shared" si="4"/>
        <v>3.5696517412935322</v>
      </c>
      <c r="J26" s="1">
        <f t="shared" si="4"/>
        <v>8.0970149253731361</v>
      </c>
      <c r="K26" s="1">
        <f t="shared" si="4"/>
        <v>0</v>
      </c>
      <c r="L26" s="1"/>
      <c r="M26" s="1"/>
      <c r="N26" s="1"/>
      <c r="O26" s="1"/>
      <c r="P26" s="1"/>
      <c r="Q26" s="1"/>
    </row>
    <row r="27" spans="1:36" x14ac:dyDescent="0.25">
      <c r="A27" t="s">
        <v>18</v>
      </c>
      <c r="B27" s="1">
        <f t="shared" ref="B27:K27" si="5">(B7/$S$1)*100</f>
        <v>7.1641791044776122</v>
      </c>
      <c r="C27" s="1">
        <f t="shared" si="5"/>
        <v>0</v>
      </c>
      <c r="D27" s="1">
        <f t="shared" si="5"/>
        <v>0</v>
      </c>
      <c r="E27" s="1">
        <f t="shared" si="5"/>
        <v>0</v>
      </c>
      <c r="F27" s="1">
        <f t="shared" si="5"/>
        <v>0</v>
      </c>
      <c r="G27" s="1">
        <f t="shared" si="5"/>
        <v>0</v>
      </c>
      <c r="H27" s="1">
        <f t="shared" si="5"/>
        <v>16.517412935323385</v>
      </c>
      <c r="I27" s="1">
        <f t="shared" si="5"/>
        <v>0</v>
      </c>
      <c r="J27" s="1">
        <f t="shared" si="5"/>
        <v>0</v>
      </c>
      <c r="K27" s="1">
        <f t="shared" si="5"/>
        <v>0</v>
      </c>
      <c r="L27" s="1"/>
      <c r="M27" s="1"/>
      <c r="N27" s="1"/>
      <c r="O27" s="1"/>
      <c r="P27" s="1"/>
      <c r="Q27" s="1"/>
    </row>
    <row r="28" spans="1:36" x14ac:dyDescent="0.25">
      <c r="A28" t="s">
        <v>19</v>
      </c>
      <c r="B28" s="1">
        <f t="shared" ref="B28:K28" si="6">(B8/$S$1)*100</f>
        <v>63.171641791044777</v>
      </c>
      <c r="C28" s="1">
        <f t="shared" si="6"/>
        <v>25.659203980099509</v>
      </c>
      <c r="D28" s="1">
        <f t="shared" si="6"/>
        <v>2.1268656716417915</v>
      </c>
      <c r="E28" s="1">
        <f t="shared" si="6"/>
        <v>0</v>
      </c>
      <c r="F28" s="1">
        <f t="shared" si="6"/>
        <v>0</v>
      </c>
      <c r="G28" s="1">
        <f t="shared" si="6"/>
        <v>26.604477611940297</v>
      </c>
      <c r="H28" s="1">
        <f t="shared" si="6"/>
        <v>21.368159203980102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/>
      <c r="M28" s="1"/>
      <c r="N28" s="1"/>
      <c r="O28" s="1"/>
      <c r="P28" s="1"/>
      <c r="Q28" s="1"/>
    </row>
    <row r="29" spans="1:36" x14ac:dyDescent="0.25">
      <c r="A29" t="s">
        <v>20</v>
      </c>
      <c r="B29" s="1">
        <f t="shared" ref="B29:K29" si="7">(B9/$S$1)*100</f>
        <v>29.664179104477604</v>
      </c>
      <c r="C29" s="1">
        <f t="shared" si="7"/>
        <v>47.052238805970148</v>
      </c>
      <c r="D29" s="1">
        <f t="shared" si="7"/>
        <v>97.873134328358205</v>
      </c>
      <c r="E29" s="1">
        <f t="shared" si="7"/>
        <v>32.226368159203979</v>
      </c>
      <c r="F29" s="1">
        <f t="shared" si="7"/>
        <v>32.549751243781088</v>
      </c>
      <c r="G29" s="1">
        <f t="shared" si="7"/>
        <v>18.930348258706449</v>
      </c>
      <c r="H29" s="1">
        <f t="shared" si="7"/>
        <v>33.793532338308445</v>
      </c>
      <c r="I29" s="1">
        <f t="shared" si="7"/>
        <v>78.420398009950247</v>
      </c>
      <c r="J29" s="1">
        <f t="shared" si="7"/>
        <v>54.004975124378099</v>
      </c>
      <c r="K29" s="1">
        <f t="shared" si="7"/>
        <v>63.097014925373131</v>
      </c>
      <c r="L29" s="1"/>
      <c r="M29" s="1"/>
      <c r="N29" s="1"/>
      <c r="O29" s="1"/>
      <c r="P29" s="1"/>
      <c r="Q29" s="1"/>
    </row>
    <row r="31" spans="1:36" x14ac:dyDescent="0.25">
      <c r="B31" t="s">
        <v>92</v>
      </c>
      <c r="C31" t="s">
        <v>91</v>
      </c>
      <c r="D31" t="s">
        <v>90</v>
      </c>
      <c r="E31" t="s">
        <v>89</v>
      </c>
      <c r="F31" t="s">
        <v>88</v>
      </c>
      <c r="G31" t="s">
        <v>87</v>
      </c>
      <c r="H31" t="s">
        <v>86</v>
      </c>
      <c r="I31" t="s">
        <v>85</v>
      </c>
      <c r="J31" t="s">
        <v>84</v>
      </c>
      <c r="K31" t="s">
        <v>83</v>
      </c>
    </row>
    <row r="32" spans="1:36" x14ac:dyDescent="0.25">
      <c r="A32" t="s">
        <v>13</v>
      </c>
      <c r="B32" s="1">
        <f t="shared" ref="B32:K32" si="8">(B12/$S$2)*100</f>
        <v>25.187969924812027</v>
      </c>
      <c r="C32" s="1">
        <f t="shared" si="8"/>
        <v>6.0825139772508185</v>
      </c>
      <c r="D32" s="1">
        <f t="shared" si="8"/>
        <v>28.889531521110467</v>
      </c>
      <c r="E32" s="1">
        <f t="shared" si="8"/>
        <v>11.981877771351455</v>
      </c>
      <c r="F32" s="1">
        <f t="shared" si="8"/>
        <v>0</v>
      </c>
      <c r="G32" s="1">
        <f t="shared" si="8"/>
        <v>0</v>
      </c>
      <c r="H32" s="1">
        <f t="shared" si="8"/>
        <v>10.333526122999807</v>
      </c>
      <c r="I32" s="1">
        <f t="shared" si="8"/>
        <v>23.674571042992092</v>
      </c>
      <c r="J32" s="1">
        <f t="shared" si="8"/>
        <v>13.090418353576251</v>
      </c>
      <c r="K32" s="1">
        <f t="shared" si="8"/>
        <v>33.757470599575853</v>
      </c>
      <c r="L32" s="1"/>
      <c r="M32" s="1"/>
      <c r="N32" s="1"/>
      <c r="O32" s="1"/>
      <c r="P32" s="1"/>
      <c r="Q32" s="1"/>
    </row>
    <row r="33" spans="1:18" x14ac:dyDescent="0.25">
      <c r="A33" t="s">
        <v>14</v>
      </c>
      <c r="B33" s="1">
        <f t="shared" ref="B33:K33" si="9">(B13/$S$2)*100</f>
        <v>0</v>
      </c>
      <c r="C33" s="1">
        <f t="shared" si="9"/>
        <v>0</v>
      </c>
      <c r="D33" s="1">
        <f t="shared" si="9"/>
        <v>0</v>
      </c>
      <c r="E33" s="1">
        <f t="shared" si="9"/>
        <v>25.04337767495662</v>
      </c>
      <c r="F33" s="1">
        <f t="shared" si="9"/>
        <v>29.747445536919219</v>
      </c>
      <c r="G33" s="1">
        <f t="shared" si="9"/>
        <v>10.593792172739541</v>
      </c>
      <c r="H33" s="1">
        <f t="shared" si="9"/>
        <v>4.9546944283786383</v>
      </c>
      <c r="I33" s="1">
        <f t="shared" si="9"/>
        <v>18.208983998457683</v>
      </c>
      <c r="J33" s="1">
        <f t="shared" si="9"/>
        <v>0</v>
      </c>
      <c r="K33" s="1">
        <f t="shared" si="9"/>
        <v>10.921534605745132</v>
      </c>
      <c r="L33" s="1"/>
      <c r="M33" s="1"/>
      <c r="N33" s="1"/>
      <c r="O33" s="1"/>
      <c r="P33" s="1"/>
      <c r="Q33" s="1"/>
    </row>
    <row r="34" spans="1:18" x14ac:dyDescent="0.25">
      <c r="A34" t="s">
        <v>15</v>
      </c>
      <c r="B34" s="1">
        <f t="shared" ref="B34:K34" si="10">(B14/$S$2)*100</f>
        <v>0</v>
      </c>
      <c r="C34" s="1">
        <f t="shared" si="10"/>
        <v>0</v>
      </c>
      <c r="D34" s="1">
        <f t="shared" si="10"/>
        <v>0</v>
      </c>
      <c r="E34" s="1">
        <f t="shared" si="10"/>
        <v>0</v>
      </c>
      <c r="F34" s="1">
        <f t="shared" si="10"/>
        <v>0</v>
      </c>
      <c r="G34" s="1">
        <f t="shared" si="10"/>
        <v>0</v>
      </c>
      <c r="H34" s="1">
        <f t="shared" si="10"/>
        <v>0</v>
      </c>
      <c r="I34" s="1">
        <f t="shared" si="10"/>
        <v>0</v>
      </c>
      <c r="J34" s="1">
        <f t="shared" si="10"/>
        <v>0</v>
      </c>
      <c r="K34" s="1">
        <f t="shared" si="10"/>
        <v>12.56988625409678</v>
      </c>
      <c r="L34" s="1"/>
      <c r="M34" s="1"/>
      <c r="N34" s="1"/>
      <c r="O34" s="1"/>
      <c r="P34" s="1"/>
      <c r="Q34" s="1"/>
    </row>
    <row r="35" spans="1:18" x14ac:dyDescent="0.25">
      <c r="A35" t="s">
        <v>16</v>
      </c>
      <c r="B35" s="1">
        <f t="shared" ref="B35:K35" si="11">(B15/$S$2)*100</f>
        <v>12.801233853865432</v>
      </c>
      <c r="C35" s="1">
        <f t="shared" si="11"/>
        <v>0</v>
      </c>
      <c r="D35" s="1">
        <f t="shared" si="11"/>
        <v>0</v>
      </c>
      <c r="E35" s="1">
        <f t="shared" si="11"/>
        <v>0</v>
      </c>
      <c r="F35" s="1">
        <f t="shared" si="11"/>
        <v>0</v>
      </c>
      <c r="G35" s="1">
        <f t="shared" si="11"/>
        <v>0</v>
      </c>
      <c r="H35" s="1">
        <f t="shared" si="11"/>
        <v>4.5112781954887211</v>
      </c>
      <c r="I35" s="1">
        <f t="shared" si="11"/>
        <v>0</v>
      </c>
      <c r="J35" s="1">
        <f t="shared" si="11"/>
        <v>4.8582995951417001</v>
      </c>
      <c r="K35" s="1">
        <f t="shared" si="11"/>
        <v>0</v>
      </c>
      <c r="L35" s="1"/>
      <c r="M35" s="1"/>
      <c r="N35" s="1"/>
      <c r="O35" s="1"/>
      <c r="P35" s="1"/>
      <c r="Q35" s="1"/>
    </row>
    <row r="36" spans="1:18" x14ac:dyDescent="0.25">
      <c r="A36" t="s">
        <v>17</v>
      </c>
      <c r="B36" s="1">
        <f t="shared" ref="B36:K36" si="12">(B16/$S$2)*100</f>
        <v>0</v>
      </c>
      <c r="C36" s="1">
        <f t="shared" si="12"/>
        <v>21.283979178716017</v>
      </c>
      <c r="D36" s="1">
        <f t="shared" si="12"/>
        <v>0</v>
      </c>
      <c r="E36" s="1">
        <f t="shared" si="12"/>
        <v>0</v>
      </c>
      <c r="F36" s="1">
        <f t="shared" si="12"/>
        <v>0</v>
      </c>
      <c r="G36" s="1">
        <f t="shared" si="12"/>
        <v>10.401002506265664</v>
      </c>
      <c r="H36" s="1">
        <f t="shared" si="12"/>
        <v>13.87121650279545</v>
      </c>
      <c r="I36" s="1">
        <f t="shared" si="12"/>
        <v>4.3088490456911508</v>
      </c>
      <c r="J36" s="1">
        <f t="shared" si="12"/>
        <v>7.2681704260651623</v>
      </c>
      <c r="K36" s="1">
        <f t="shared" si="12"/>
        <v>4.2220936957779056</v>
      </c>
      <c r="L36" s="1"/>
      <c r="M36" s="1"/>
      <c r="N36" s="1"/>
      <c r="O36" s="1"/>
      <c r="P36" s="1"/>
      <c r="Q36" s="1"/>
    </row>
    <row r="37" spans="1:18" x14ac:dyDescent="0.25">
      <c r="A37" t="s">
        <v>18</v>
      </c>
      <c r="B37" s="1">
        <f t="shared" ref="B37:K37" si="13">(B17/$S$2)*100</f>
        <v>0</v>
      </c>
      <c r="C37" s="1">
        <f t="shared" si="13"/>
        <v>0</v>
      </c>
      <c r="D37" s="1">
        <f t="shared" si="13"/>
        <v>0</v>
      </c>
      <c r="E37" s="1">
        <f t="shared" si="13"/>
        <v>0</v>
      </c>
      <c r="F37" s="1">
        <f t="shared" si="13"/>
        <v>10.246770773086562</v>
      </c>
      <c r="G37" s="1">
        <f t="shared" si="13"/>
        <v>0</v>
      </c>
      <c r="H37" s="1">
        <f t="shared" si="13"/>
        <v>0</v>
      </c>
      <c r="I37" s="1">
        <f t="shared" si="13"/>
        <v>0</v>
      </c>
      <c r="J37" s="1">
        <f t="shared" si="13"/>
        <v>0</v>
      </c>
      <c r="K37" s="1">
        <f t="shared" si="13"/>
        <v>0</v>
      </c>
      <c r="L37" s="1"/>
      <c r="M37" s="1"/>
      <c r="N37" s="1"/>
      <c r="O37" s="1"/>
      <c r="P37" s="1"/>
      <c r="Q37" s="1"/>
    </row>
    <row r="38" spans="1:18" x14ac:dyDescent="0.25">
      <c r="A38" t="s">
        <v>19</v>
      </c>
      <c r="B38" s="1">
        <f t="shared" ref="B38:K38" si="14">(B18/$S$2)*100</f>
        <v>55.523423944476576</v>
      </c>
      <c r="C38" s="1">
        <f t="shared" si="14"/>
        <v>65.191825718141516</v>
      </c>
      <c r="D38" s="1">
        <f t="shared" si="14"/>
        <v>17.129361866203972</v>
      </c>
      <c r="E38" s="1">
        <f t="shared" si="14"/>
        <v>62.97474455369192</v>
      </c>
      <c r="F38" s="1">
        <f t="shared" si="14"/>
        <v>56.574127626759193</v>
      </c>
      <c r="G38" s="1">
        <f t="shared" si="14"/>
        <v>71.553884711779446</v>
      </c>
      <c r="H38" s="1">
        <f t="shared" si="14"/>
        <v>18.315018315018317</v>
      </c>
      <c r="I38" s="1">
        <f t="shared" si="14"/>
        <v>40.013495276653174</v>
      </c>
      <c r="J38" s="1">
        <f t="shared" si="14"/>
        <v>0</v>
      </c>
      <c r="K38" s="1">
        <f t="shared" si="14"/>
        <v>13.524195103142473</v>
      </c>
      <c r="L38" s="1"/>
      <c r="M38" s="1"/>
      <c r="N38" s="1"/>
      <c r="O38" s="1"/>
      <c r="P38" s="1"/>
      <c r="Q38" s="1"/>
    </row>
    <row r="39" spans="1:18" x14ac:dyDescent="0.25">
      <c r="A39" t="s">
        <v>20</v>
      </c>
      <c r="B39" s="1">
        <f t="shared" ref="B39:K39" si="15">(B19/$S$2)*100</f>
        <v>6.487372276845961</v>
      </c>
      <c r="C39" s="1">
        <f t="shared" si="15"/>
        <v>7.4416811258916526</v>
      </c>
      <c r="D39" s="1">
        <f t="shared" si="15"/>
        <v>54.54983612878349</v>
      </c>
      <c r="E39" s="1">
        <f t="shared" si="15"/>
        <v>0</v>
      </c>
      <c r="F39" s="1">
        <f t="shared" si="15"/>
        <v>7.4513206092153466</v>
      </c>
      <c r="G39" s="1">
        <f t="shared" si="15"/>
        <v>7.4513206092153466</v>
      </c>
      <c r="H39" s="1">
        <f t="shared" si="15"/>
        <v>48.014266435319065</v>
      </c>
      <c r="I39" s="1">
        <f t="shared" si="15"/>
        <v>13.794100636205901</v>
      </c>
      <c r="J39" s="1">
        <f t="shared" si="15"/>
        <v>74.78311162521689</v>
      </c>
      <c r="K39" s="1">
        <f t="shared" si="15"/>
        <v>22.99016772700983</v>
      </c>
      <c r="L39" s="1"/>
      <c r="M39" s="1"/>
      <c r="N39" s="1"/>
      <c r="O39" s="1"/>
      <c r="P39" s="1"/>
      <c r="Q39" s="1"/>
    </row>
    <row r="40" spans="1:18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t="s">
        <v>37</v>
      </c>
      <c r="B41" s="1">
        <f t="shared" ref="B41:K41" si="16">SUM(B22:B24)</f>
        <v>0</v>
      </c>
      <c r="C41" s="1">
        <f t="shared" si="16"/>
        <v>12.213930348258707</v>
      </c>
      <c r="D41" s="1">
        <f t="shared" si="16"/>
        <v>0</v>
      </c>
      <c r="E41" s="1">
        <f t="shared" si="16"/>
        <v>67.773631840796028</v>
      </c>
      <c r="F41" s="1">
        <f t="shared" si="16"/>
        <v>67.450248756218912</v>
      </c>
      <c r="G41" s="1">
        <f t="shared" si="16"/>
        <v>45.796019900497527</v>
      </c>
      <c r="H41" s="1">
        <f t="shared" si="16"/>
        <v>15.721393034825873</v>
      </c>
      <c r="I41" s="1">
        <f t="shared" si="16"/>
        <v>12.263681592039802</v>
      </c>
      <c r="J41" s="1">
        <f t="shared" si="16"/>
        <v>31.679104477611947</v>
      </c>
      <c r="K41" s="1">
        <f t="shared" si="16"/>
        <v>36.902985074626869</v>
      </c>
      <c r="L41" s="1"/>
      <c r="M41" s="1"/>
      <c r="N41" s="1"/>
      <c r="O41" s="1"/>
      <c r="P41" s="1"/>
      <c r="Q41" s="1"/>
      <c r="R41" s="1"/>
    </row>
    <row r="42" spans="1:18" x14ac:dyDescent="0.25">
      <c r="A42" t="s">
        <v>38</v>
      </c>
      <c r="B42" s="1">
        <f t="shared" ref="B42:K42" si="17">SUM(B25:B29)</f>
        <v>100</v>
      </c>
      <c r="C42" s="1">
        <f t="shared" si="17"/>
        <v>87.7860696517413</v>
      </c>
      <c r="D42" s="1">
        <f t="shared" si="17"/>
        <v>100</v>
      </c>
      <c r="E42" s="1">
        <f t="shared" si="17"/>
        <v>32.226368159203979</v>
      </c>
      <c r="F42" s="1">
        <f t="shared" si="17"/>
        <v>32.549751243781088</v>
      </c>
      <c r="G42" s="1">
        <f t="shared" si="17"/>
        <v>54.203980099502459</v>
      </c>
      <c r="H42" s="1">
        <f t="shared" si="17"/>
        <v>84.278606965174134</v>
      </c>
      <c r="I42" s="1">
        <f t="shared" si="17"/>
        <v>87.736318407960198</v>
      </c>
      <c r="J42" s="1">
        <f t="shared" si="17"/>
        <v>68.320895522388057</v>
      </c>
      <c r="K42" s="1">
        <f t="shared" si="17"/>
        <v>63.097014925373131</v>
      </c>
      <c r="L42" s="1"/>
      <c r="M42" s="1"/>
      <c r="N42" s="1"/>
      <c r="O42" s="1"/>
      <c r="P42" s="1"/>
      <c r="Q42" s="1"/>
      <c r="R42" s="1"/>
    </row>
    <row r="43" spans="1:18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t="s">
        <v>37</v>
      </c>
      <c r="B44" s="1">
        <f t="shared" ref="B44:K44" si="18">SUM(B32:B34)</f>
        <v>25.187969924812027</v>
      </c>
      <c r="C44" s="1">
        <f t="shared" si="18"/>
        <v>6.0825139772508185</v>
      </c>
      <c r="D44" s="1">
        <f t="shared" si="18"/>
        <v>28.889531521110467</v>
      </c>
      <c r="E44" s="1">
        <f t="shared" si="18"/>
        <v>37.025255446308073</v>
      </c>
      <c r="F44" s="1">
        <f t="shared" si="18"/>
        <v>29.747445536919219</v>
      </c>
      <c r="G44" s="1">
        <f t="shared" si="18"/>
        <v>10.593792172739541</v>
      </c>
      <c r="H44" s="1">
        <f t="shared" si="18"/>
        <v>15.288220551378444</v>
      </c>
      <c r="I44" s="1">
        <f t="shared" si="18"/>
        <v>41.883555041449775</v>
      </c>
      <c r="J44" s="1">
        <f t="shared" si="18"/>
        <v>13.090418353576251</v>
      </c>
      <c r="K44" s="1">
        <f t="shared" si="18"/>
        <v>57.248891459417763</v>
      </c>
      <c r="L44" s="1"/>
      <c r="M44" s="1"/>
      <c r="N44" s="1"/>
      <c r="O44" s="1"/>
      <c r="P44" s="1"/>
      <c r="Q44" s="1"/>
      <c r="R44" s="1"/>
    </row>
    <row r="45" spans="1:18" x14ac:dyDescent="0.25">
      <c r="A45" t="s">
        <v>38</v>
      </c>
      <c r="B45" s="1">
        <f t="shared" ref="B45:K45" si="19">SUM(B35:B39)</f>
        <v>74.812030075187963</v>
      </c>
      <c r="C45" s="1">
        <f t="shared" si="19"/>
        <v>93.917486022749188</v>
      </c>
      <c r="D45" s="1">
        <f t="shared" si="19"/>
        <v>71.679197994987462</v>
      </c>
      <c r="E45" s="1">
        <f t="shared" si="19"/>
        <v>62.97474455369192</v>
      </c>
      <c r="F45" s="1">
        <f t="shared" si="19"/>
        <v>74.272219009061104</v>
      </c>
      <c r="G45" s="1">
        <f t="shared" si="19"/>
        <v>89.406207827260459</v>
      </c>
      <c r="H45" s="1">
        <f t="shared" si="19"/>
        <v>84.711779448621542</v>
      </c>
      <c r="I45" s="1">
        <f t="shared" si="19"/>
        <v>58.116444958550218</v>
      </c>
      <c r="J45" s="1">
        <f t="shared" si="19"/>
        <v>86.90958164642376</v>
      </c>
      <c r="K45" s="1">
        <f t="shared" si="19"/>
        <v>40.736456525930208</v>
      </c>
      <c r="L45" s="1"/>
      <c r="M45" s="1"/>
      <c r="N45" s="1"/>
      <c r="O45" s="1"/>
      <c r="P45" s="1"/>
      <c r="Q45" s="1"/>
    </row>
    <row r="47" spans="1:18" x14ac:dyDescent="0.25">
      <c r="A47" t="s">
        <v>45</v>
      </c>
      <c r="B47" s="1">
        <f t="shared" ref="B47:K47" si="20">B23+B24+B26+B28+B29</f>
        <v>92.835820895522374</v>
      </c>
      <c r="C47" s="1">
        <f t="shared" si="20"/>
        <v>75.932835820895519</v>
      </c>
      <c r="D47" s="1">
        <f t="shared" si="20"/>
        <v>100</v>
      </c>
      <c r="E47" s="1">
        <f t="shared" si="20"/>
        <v>64.925373134328368</v>
      </c>
      <c r="F47" s="1">
        <f t="shared" si="20"/>
        <v>79.850746268656721</v>
      </c>
      <c r="G47" s="1">
        <f t="shared" si="20"/>
        <v>71.592039800995011</v>
      </c>
      <c r="H47" s="1">
        <f t="shared" si="20"/>
        <v>77.736318407960198</v>
      </c>
      <c r="I47" s="1">
        <f t="shared" si="20"/>
        <v>94.253731343283576</v>
      </c>
      <c r="J47" s="1">
        <f t="shared" si="20"/>
        <v>62.101990049751237</v>
      </c>
      <c r="K47" s="1">
        <f t="shared" si="20"/>
        <v>79.838308457711435</v>
      </c>
      <c r="L47" s="1"/>
      <c r="M47" s="1"/>
      <c r="N47" s="1"/>
      <c r="O47" s="1"/>
      <c r="P47" s="1"/>
      <c r="Q47" s="1"/>
    </row>
    <row r="48" spans="1:18" x14ac:dyDescent="0.25">
      <c r="A48" t="s">
        <v>46</v>
      </c>
      <c r="B48" s="1">
        <f t="shared" ref="B48:K48" si="21">B22+B25+B27</f>
        <v>7.1641791044776122</v>
      </c>
      <c r="C48" s="1">
        <f t="shared" si="21"/>
        <v>24.067164179104481</v>
      </c>
      <c r="D48" s="1">
        <f t="shared" si="21"/>
        <v>0</v>
      </c>
      <c r="E48" s="1">
        <f t="shared" si="21"/>
        <v>35.074626865671647</v>
      </c>
      <c r="F48" s="1">
        <f t="shared" si="21"/>
        <v>20.149253731343286</v>
      </c>
      <c r="G48" s="1">
        <f t="shared" si="21"/>
        <v>28.407960199004979</v>
      </c>
      <c r="H48" s="1">
        <f t="shared" si="21"/>
        <v>22.263681592039802</v>
      </c>
      <c r="I48" s="1">
        <f t="shared" si="21"/>
        <v>5.7462686567164187</v>
      </c>
      <c r="J48" s="1">
        <f t="shared" si="21"/>
        <v>37.898009950248763</v>
      </c>
      <c r="K48" s="1">
        <f t="shared" si="21"/>
        <v>20.161691542288558</v>
      </c>
      <c r="L48" s="1"/>
      <c r="M48" s="1"/>
      <c r="N48" s="1"/>
      <c r="O48" s="1"/>
      <c r="P48" s="1"/>
      <c r="Q48" s="1"/>
    </row>
    <row r="50" spans="1:17" x14ac:dyDescent="0.25">
      <c r="A50" t="s">
        <v>45</v>
      </c>
      <c r="B50" s="1">
        <f t="shared" ref="B50:K50" si="22">B33+B34+B36+B38+B39</f>
        <v>62.010796221322536</v>
      </c>
      <c r="C50" s="1">
        <f t="shared" si="22"/>
        <v>93.917486022749188</v>
      </c>
      <c r="D50" s="1">
        <f t="shared" si="22"/>
        <v>71.679197994987462</v>
      </c>
      <c r="E50" s="1">
        <f t="shared" si="22"/>
        <v>88.018122228648537</v>
      </c>
      <c r="F50" s="1">
        <f t="shared" si="22"/>
        <v>93.772893772893752</v>
      </c>
      <c r="G50" s="1">
        <f t="shared" si="22"/>
        <v>100</v>
      </c>
      <c r="H50" s="1">
        <f t="shared" si="22"/>
        <v>85.155195681511472</v>
      </c>
      <c r="I50" s="1">
        <f t="shared" si="22"/>
        <v>76.325428957007901</v>
      </c>
      <c r="J50" s="1">
        <f t="shared" si="22"/>
        <v>82.051282051282058</v>
      </c>
      <c r="K50" s="1">
        <f t="shared" si="22"/>
        <v>64.227877385772118</v>
      </c>
      <c r="L50" s="1"/>
      <c r="M50" s="1"/>
      <c r="N50" s="1"/>
      <c r="O50" s="1"/>
      <c r="P50" s="1"/>
      <c r="Q50" s="1"/>
    </row>
    <row r="51" spans="1:17" x14ac:dyDescent="0.25">
      <c r="A51" t="s">
        <v>46</v>
      </c>
      <c r="B51" s="1">
        <f t="shared" ref="B51:K51" si="23">B32+B35+B37</f>
        <v>37.989203778677457</v>
      </c>
      <c r="C51" s="1">
        <f t="shared" si="23"/>
        <v>6.0825139772508185</v>
      </c>
      <c r="D51" s="1">
        <f t="shared" si="23"/>
        <v>28.889531521110467</v>
      </c>
      <c r="E51" s="1">
        <f t="shared" si="23"/>
        <v>11.981877771351455</v>
      </c>
      <c r="F51" s="1">
        <f t="shared" si="23"/>
        <v>10.246770773086562</v>
      </c>
      <c r="G51" s="1">
        <f t="shared" si="23"/>
        <v>0</v>
      </c>
      <c r="H51" s="1">
        <f t="shared" si="23"/>
        <v>14.844804318488528</v>
      </c>
      <c r="I51" s="1">
        <f t="shared" si="23"/>
        <v>23.674571042992092</v>
      </c>
      <c r="J51" s="1">
        <f t="shared" si="23"/>
        <v>17.948717948717949</v>
      </c>
      <c r="K51" s="1">
        <f t="shared" si="23"/>
        <v>33.757470599575853</v>
      </c>
      <c r="L51" s="1"/>
      <c r="M51" s="1"/>
      <c r="N51" s="1"/>
      <c r="O51" s="1"/>
      <c r="P51" s="1"/>
      <c r="Q51" s="1"/>
    </row>
    <row r="53" spans="1:17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6" spans="1:17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</sheetData>
  <conditionalFormatting sqref="B41:Q41">
    <cfRule type="colorScale" priority="15">
      <colorScale>
        <cfvo type="min"/>
        <cfvo type="max"/>
        <color rgb="FFFCFCFF"/>
        <color rgb="FF63BE7B"/>
      </colorScale>
    </cfRule>
  </conditionalFormatting>
  <conditionalFormatting sqref="B42:Q42">
    <cfRule type="colorScale" priority="14">
      <colorScale>
        <cfvo type="min"/>
        <cfvo type="max"/>
        <color rgb="FFFCFCFF"/>
        <color rgb="FFF8696B"/>
      </colorScale>
    </cfRule>
  </conditionalFormatting>
  <conditionalFormatting sqref="B44:Q44">
    <cfRule type="colorScale" priority="13">
      <colorScale>
        <cfvo type="min"/>
        <cfvo type="max"/>
        <color rgb="FFFCFCFF"/>
        <color rgb="FF63BE7B"/>
      </colorScale>
    </cfRule>
  </conditionalFormatting>
  <conditionalFormatting sqref="B45:Q45">
    <cfRule type="colorScale" priority="12">
      <colorScale>
        <cfvo type="min"/>
        <cfvo type="max"/>
        <color rgb="FFFCFCFF"/>
        <color rgb="FFF8696B"/>
      </colorScale>
    </cfRule>
  </conditionalFormatting>
  <conditionalFormatting sqref="B47:Q47">
    <cfRule type="colorScale" priority="7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B48:Q48">
    <cfRule type="colorScale" priority="5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0">
      <colorScale>
        <cfvo type="min"/>
        <cfvo type="max"/>
        <color rgb="FFFCFCFF"/>
        <color rgb="FFF8696B"/>
      </colorScale>
    </cfRule>
  </conditionalFormatting>
  <conditionalFormatting sqref="B50:Q50">
    <cfRule type="colorScale" priority="6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B51:Q51">
    <cfRule type="colorScale" priority="4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8">
      <colorScale>
        <cfvo type="min"/>
        <cfvo type="max"/>
        <color rgb="FFFCFCFF"/>
        <color rgb="FFF8696B"/>
      </colorScale>
    </cfRule>
  </conditionalFormatting>
  <conditionalFormatting sqref="B53:Q53 B56:Q56">
    <cfRule type="colorScale" priority="3">
      <colorScale>
        <cfvo type="min"/>
        <cfvo type="percentile" val="50"/>
        <cfvo type="max"/>
        <color theme="0"/>
        <color rgb="FFFCBAF9"/>
        <color rgb="FFF747EF"/>
      </colorScale>
    </cfRule>
  </conditionalFormatting>
  <conditionalFormatting sqref="B54:Q54 B57:Q57">
    <cfRule type="colorScale" priority="1">
      <colorScale>
        <cfvo type="min"/>
        <cfvo type="percentile" val="50"/>
        <cfvo type="max"/>
        <color theme="0"/>
        <color rgb="FFC6C7F6"/>
        <color rgb="FF595CE5"/>
      </colorScale>
    </cfRule>
    <cfRule type="colorScale" priority="2">
      <colorScale>
        <cfvo type="min"/>
        <cfvo type="percentile" val="50"/>
        <cfvo type="max"/>
        <color theme="0"/>
        <color rgb="FFF2FA8A"/>
        <color rgb="FFE5F513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00E6-5F92-4D36-A0B3-C771247509F8}">
  <dimension ref="A1:W57"/>
  <sheetViews>
    <sheetView tabSelected="1" zoomScale="70" zoomScaleNormal="70" workbookViewId="0">
      <selection activeCell="T24" sqref="T24"/>
    </sheetView>
  </sheetViews>
  <sheetFormatPr defaultRowHeight="15" x14ac:dyDescent="0.25"/>
  <sheetData>
    <row r="1" spans="1:23" x14ac:dyDescent="0.25">
      <c r="B1" t="s">
        <v>102</v>
      </c>
      <c r="C1" t="s">
        <v>101</v>
      </c>
      <c r="D1" t="s">
        <v>100</v>
      </c>
      <c r="E1" t="s">
        <v>99</v>
      </c>
      <c r="F1" t="s">
        <v>98</v>
      </c>
      <c r="G1" t="s">
        <v>97</v>
      </c>
      <c r="H1" t="s">
        <v>96</v>
      </c>
      <c r="I1" t="s">
        <v>95</v>
      </c>
      <c r="J1" t="s">
        <v>94</v>
      </c>
      <c r="K1" t="s">
        <v>93</v>
      </c>
      <c r="M1" s="16" t="s">
        <v>104</v>
      </c>
      <c r="N1" s="6" t="s">
        <v>102</v>
      </c>
      <c r="O1" s="7" t="s">
        <v>101</v>
      </c>
      <c r="P1" s="7" t="s">
        <v>100</v>
      </c>
      <c r="Q1" s="7" t="s">
        <v>99</v>
      </c>
      <c r="R1" s="7" t="s">
        <v>98</v>
      </c>
      <c r="S1" s="7" t="s">
        <v>97</v>
      </c>
      <c r="T1" s="7" t="s">
        <v>96</v>
      </c>
      <c r="U1" s="7" t="s">
        <v>95</v>
      </c>
      <c r="V1" s="7" t="s">
        <v>94</v>
      </c>
      <c r="W1" s="8" t="s">
        <v>93</v>
      </c>
    </row>
    <row r="2" spans="1:23" x14ac:dyDescent="0.25">
      <c r="A2" t="s">
        <v>13</v>
      </c>
      <c r="B2">
        <v>0</v>
      </c>
      <c r="C2">
        <v>181.8</v>
      </c>
      <c r="D2">
        <v>0</v>
      </c>
      <c r="E2">
        <v>662.56</v>
      </c>
      <c r="F2">
        <v>28.82</v>
      </c>
      <c r="G2">
        <v>680.78</v>
      </c>
      <c r="H2">
        <v>0</v>
      </c>
      <c r="I2">
        <v>0</v>
      </c>
      <c r="J2">
        <v>14086</v>
      </c>
      <c r="K2">
        <v>14086</v>
      </c>
      <c r="M2" s="17"/>
      <c r="N2" s="9">
        <v>2335.27</v>
      </c>
      <c r="O2">
        <v>1446.35</v>
      </c>
      <c r="P2">
        <f>509.85+976.69</f>
        <v>1486.54</v>
      </c>
      <c r="Q2">
        <v>1931.29</v>
      </c>
      <c r="R2">
        <v>2416.7600000000002</v>
      </c>
      <c r="S2">
        <v>2860.44</v>
      </c>
      <c r="T2">
        <v>10359.620000000001</v>
      </c>
      <c r="U2">
        <f>6554.93+7753.7</f>
        <v>14308.630000000001</v>
      </c>
      <c r="V2">
        <v>45773</v>
      </c>
      <c r="W2" s="10">
        <v>35578.51</v>
      </c>
    </row>
    <row r="3" spans="1:23" x14ac:dyDescent="0.25">
      <c r="A3" t="s">
        <v>14</v>
      </c>
      <c r="B3">
        <v>0</v>
      </c>
      <c r="C3">
        <v>0</v>
      </c>
      <c r="D3">
        <v>0</v>
      </c>
      <c r="E3">
        <v>682.88</v>
      </c>
      <c r="F3">
        <f>(381.62+211.57+282.27+510.58+284.64)</f>
        <v>1670.6799999999998</v>
      </c>
      <c r="G3">
        <v>959.63</v>
      </c>
      <c r="H3">
        <v>0</v>
      </c>
      <c r="I3">
        <v>1901.93</v>
      </c>
      <c r="J3">
        <v>0</v>
      </c>
      <c r="K3">
        <f>839.94+3332.4+818.39</f>
        <v>4990.7300000000005</v>
      </c>
      <c r="M3" s="17"/>
      <c r="N3" s="9"/>
      <c r="W3" s="10"/>
    </row>
    <row r="4" spans="1:23" x14ac:dyDescent="0.25">
      <c r="A4" t="s">
        <v>15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884.95</v>
      </c>
      <c r="I4">
        <v>0</v>
      </c>
      <c r="J4">
        <v>0</v>
      </c>
      <c r="K4">
        <v>0</v>
      </c>
      <c r="M4" s="17"/>
      <c r="N4" s="9" t="s">
        <v>92</v>
      </c>
      <c r="O4" t="s">
        <v>91</v>
      </c>
      <c r="P4" t="s">
        <v>90</v>
      </c>
      <c r="Q4" t="s">
        <v>89</v>
      </c>
      <c r="R4" t="s">
        <v>88</v>
      </c>
      <c r="S4" t="s">
        <v>87</v>
      </c>
      <c r="T4" t="s">
        <v>86</v>
      </c>
      <c r="U4" t="s">
        <v>85</v>
      </c>
      <c r="V4" t="s">
        <v>84</v>
      </c>
      <c r="W4" s="10" t="s">
        <v>83</v>
      </c>
    </row>
    <row r="5" spans="1:23" x14ac:dyDescent="0.25">
      <c r="A5" t="s">
        <v>16</v>
      </c>
      <c r="B5">
        <v>0</v>
      </c>
      <c r="C5">
        <v>180.68</v>
      </c>
      <c r="D5">
        <v>0</v>
      </c>
      <c r="E5">
        <v>0</v>
      </c>
      <c r="F5">
        <v>0</v>
      </c>
      <c r="G5">
        <v>82.12</v>
      </c>
      <c r="H5">
        <v>133.91999999999999</v>
      </c>
      <c r="I5">
        <v>68.19</v>
      </c>
      <c r="J5">
        <v>9430.07</v>
      </c>
      <c r="K5">
        <v>0</v>
      </c>
      <c r="M5" s="18"/>
      <c r="N5" s="11">
        <v>57490.36</v>
      </c>
      <c r="O5" s="12">
        <v>43001.74</v>
      </c>
      <c r="P5" s="12">
        <v>49017.29</v>
      </c>
      <c r="Q5" s="12">
        <v>61300.29</v>
      </c>
      <c r="R5" s="12">
        <v>48435.7</v>
      </c>
      <c r="S5" s="12">
        <v>45225.84</v>
      </c>
      <c r="T5" s="12">
        <v>37426.44</v>
      </c>
      <c r="U5" s="12">
        <v>34201.839999999997</v>
      </c>
      <c r="V5" s="12">
        <v>29947.9</v>
      </c>
      <c r="W5" s="13">
        <v>33446.089999999997</v>
      </c>
    </row>
    <row r="6" spans="1:23" x14ac:dyDescent="0.25">
      <c r="A6" t="s">
        <v>17</v>
      </c>
      <c r="B6">
        <v>0</v>
      </c>
      <c r="C6">
        <v>50.68</v>
      </c>
      <c r="D6">
        <v>0</v>
      </c>
      <c r="E6">
        <v>0</v>
      </c>
      <c r="F6">
        <v>0</v>
      </c>
      <c r="G6">
        <v>0</v>
      </c>
      <c r="H6">
        <v>219.92</v>
      </c>
      <c r="I6">
        <f>65.11+48.52</f>
        <v>113.63</v>
      </c>
      <c r="J6">
        <f>197.1+341.48</f>
        <v>538.58000000000004</v>
      </c>
      <c r="K6">
        <v>0</v>
      </c>
    </row>
    <row r="7" spans="1:23" x14ac:dyDescent="0.25">
      <c r="A7" t="s">
        <v>18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812.1</v>
      </c>
      <c r="I7">
        <v>0</v>
      </c>
      <c r="J7">
        <v>0</v>
      </c>
      <c r="K7">
        <v>0</v>
      </c>
    </row>
    <row r="8" spans="1:23" x14ac:dyDescent="0.25">
      <c r="A8" t="s">
        <v>47</v>
      </c>
      <c r="B8">
        <v>2335.27</v>
      </c>
      <c r="C8">
        <f>O2-(C2+C5+C6)</f>
        <v>1033.1899999999998</v>
      </c>
      <c r="D8">
        <v>1486.5</v>
      </c>
      <c r="E8">
        <f>Q2-(E2+E3)</f>
        <v>585.84999999999991</v>
      </c>
      <c r="F8">
        <f>R2-(F2+F3)</f>
        <v>717.26000000000045</v>
      </c>
      <c r="G8">
        <f>S2-(G2+G3+G5)</f>
        <v>1137.9100000000003</v>
      </c>
      <c r="H8">
        <f>T2-(H4+H5+H6+H7)</f>
        <v>8308.7300000000014</v>
      </c>
      <c r="I8">
        <f>(U2-(I3+I6))+7685.5</f>
        <v>19978.57</v>
      </c>
      <c r="J8">
        <v>24090</v>
      </c>
      <c r="K8">
        <f>W2-(K2+K3)</f>
        <v>16501.780000000002</v>
      </c>
    </row>
    <row r="11" spans="1:23" x14ac:dyDescent="0.25">
      <c r="B11" t="s">
        <v>92</v>
      </c>
      <c r="C11" t="s">
        <v>91</v>
      </c>
      <c r="D11" t="s">
        <v>90</v>
      </c>
      <c r="E11" t="s">
        <v>89</v>
      </c>
      <c r="F11" t="s">
        <v>88</v>
      </c>
      <c r="G11" t="s">
        <v>87</v>
      </c>
      <c r="H11" t="s">
        <v>86</v>
      </c>
      <c r="I11" t="s">
        <v>85</v>
      </c>
      <c r="J11" t="s">
        <v>84</v>
      </c>
      <c r="K11" t="s">
        <v>83</v>
      </c>
    </row>
    <row r="12" spans="1:23" x14ac:dyDescent="0.25">
      <c r="A12" t="s">
        <v>13</v>
      </c>
      <c r="B12">
        <v>2800.6</v>
      </c>
      <c r="C12">
        <v>758.27</v>
      </c>
      <c r="D12">
        <v>12646.01</v>
      </c>
      <c r="E12">
        <v>386.62</v>
      </c>
      <c r="F12">
        <v>0</v>
      </c>
      <c r="G12">
        <v>0</v>
      </c>
      <c r="H12">
        <v>1446.5</v>
      </c>
      <c r="I12">
        <v>8327.17</v>
      </c>
      <c r="J12">
        <f>521.7+1805</f>
        <v>2326.6999999999998</v>
      </c>
      <c r="K12">
        <v>16873</v>
      </c>
    </row>
    <row r="13" spans="1:23" x14ac:dyDescent="0.25">
      <c r="A13" t="s">
        <v>14</v>
      </c>
      <c r="B13">
        <v>0</v>
      </c>
      <c r="C13">
        <v>0</v>
      </c>
      <c r="D13">
        <v>0</v>
      </c>
      <c r="E13">
        <v>16154.15</v>
      </c>
      <c r="F13">
        <f>1945.5+20453.25</f>
        <v>22398.75</v>
      </c>
      <c r="G13">
        <f>6081.64-1945.5</f>
        <v>4136.1400000000003</v>
      </c>
      <c r="H13">
        <v>792.33</v>
      </c>
      <c r="I13">
        <v>2059.27</v>
      </c>
      <c r="J13">
        <v>0</v>
      </c>
      <c r="K13">
        <v>1152.5999999999999</v>
      </c>
    </row>
    <row r="14" spans="1:23" x14ac:dyDescent="0.25">
      <c r="A14" t="s">
        <v>15</v>
      </c>
      <c r="B14">
        <v>0</v>
      </c>
      <c r="C14">
        <v>0</v>
      </c>
      <c r="D14">
        <v>0</v>
      </c>
      <c r="E14">
        <v>276.08999999999997</v>
      </c>
      <c r="F14">
        <v>0</v>
      </c>
      <c r="G14">
        <v>0</v>
      </c>
      <c r="H14">
        <v>0</v>
      </c>
      <c r="I14">
        <v>0</v>
      </c>
      <c r="J14">
        <v>0</v>
      </c>
      <c r="K14">
        <v>828.44</v>
      </c>
    </row>
    <row r="15" spans="1:23" x14ac:dyDescent="0.25">
      <c r="A15" t="s">
        <v>16</v>
      </c>
      <c r="B15">
        <f>1018.53+52.95+68.28+7.22</f>
        <v>1146.98</v>
      </c>
      <c r="C15">
        <v>0</v>
      </c>
      <c r="D15">
        <v>0</v>
      </c>
      <c r="E15">
        <v>0</v>
      </c>
      <c r="F15">
        <v>0</v>
      </c>
      <c r="G15">
        <v>0</v>
      </c>
      <c r="H15">
        <f>282.04+285.84</f>
        <v>567.88</v>
      </c>
      <c r="I15">
        <v>0</v>
      </c>
      <c r="J15">
        <v>550.74</v>
      </c>
      <c r="K15">
        <v>0</v>
      </c>
    </row>
    <row r="16" spans="1:23" x14ac:dyDescent="0.25">
      <c r="A16" t="s">
        <v>17</v>
      </c>
      <c r="B16">
        <v>0</v>
      </c>
      <c r="C16">
        <f>75.64+106.58+351.22</f>
        <v>533.44000000000005</v>
      </c>
      <c r="D16">
        <v>0</v>
      </c>
      <c r="E16">
        <v>0</v>
      </c>
      <c r="F16">
        <v>0</v>
      </c>
      <c r="G16">
        <v>4072.59</v>
      </c>
      <c r="H16">
        <v>1438.41</v>
      </c>
      <c r="I16">
        <v>46.54</v>
      </c>
      <c r="J16">
        <f>400+1028.6</f>
        <v>1428.6</v>
      </c>
      <c r="K16">
        <v>1014.07</v>
      </c>
    </row>
    <row r="17" spans="1:11" x14ac:dyDescent="0.25">
      <c r="A17" t="s">
        <v>18</v>
      </c>
      <c r="B17">
        <v>4356.6400000000003</v>
      </c>
      <c r="C17">
        <v>0</v>
      </c>
      <c r="D17">
        <v>0</v>
      </c>
      <c r="E17">
        <v>0</v>
      </c>
      <c r="F17">
        <v>5385.74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 t="s">
        <v>47</v>
      </c>
      <c r="B18">
        <f>N5-(B12+B15+B17)</f>
        <v>49186.14</v>
      </c>
      <c r="C18">
        <f>O5-(C12+C16)</f>
        <v>41710.03</v>
      </c>
      <c r="D18">
        <f>P5-D12</f>
        <v>36371.279999999999</v>
      </c>
      <c r="E18">
        <f>Q5-(E13+E12+E14)</f>
        <v>44483.43</v>
      </c>
      <c r="F18">
        <f>R5-(F13+F17)</f>
        <v>20651.21</v>
      </c>
      <c r="G18">
        <f>S5-(G13+G16)</f>
        <v>37017.11</v>
      </c>
      <c r="H18">
        <f>T5-(H12+H13+H15+H16)</f>
        <v>33181.32</v>
      </c>
      <c r="I18">
        <f>U5-I12+I13</f>
        <v>27933.94</v>
      </c>
      <c r="J18">
        <f>V5-(SUM(J12:J17))</f>
        <v>25641.86</v>
      </c>
      <c r="K18">
        <f>W5-(K12+K13+K14+K16)</f>
        <v>13577.98</v>
      </c>
    </row>
    <row r="21" spans="1:11" x14ac:dyDescent="0.25">
      <c r="B21" t="s">
        <v>102</v>
      </c>
      <c r="C21" t="s">
        <v>101</v>
      </c>
      <c r="D21" t="s">
        <v>100</v>
      </c>
      <c r="E21" t="s">
        <v>99</v>
      </c>
      <c r="F21" t="s">
        <v>98</v>
      </c>
      <c r="G21" t="s">
        <v>97</v>
      </c>
      <c r="H21" t="s">
        <v>96</v>
      </c>
      <c r="I21" t="s">
        <v>95</v>
      </c>
      <c r="J21" t="s">
        <v>94</v>
      </c>
      <c r="K21" t="s">
        <v>93</v>
      </c>
    </row>
    <row r="22" spans="1:11" x14ac:dyDescent="0.25">
      <c r="A22" t="s">
        <v>13</v>
      </c>
      <c r="B22" s="1">
        <f t="shared" ref="B22:B28" si="0">(B2/$N$2)*100</f>
        <v>0</v>
      </c>
      <c r="C22" s="1">
        <f>(C2/$O$2)*100</f>
        <v>12.569571680436963</v>
      </c>
      <c r="D22" s="1">
        <f t="shared" ref="D22:D28" si="1">(D2/$P$2)*100</f>
        <v>0</v>
      </c>
      <c r="E22" s="1">
        <f t="shared" ref="E22:E28" si="2">(E2/$Q$2)*100</f>
        <v>34.306603358377039</v>
      </c>
      <c r="F22" s="1">
        <f t="shared" ref="F22:F28" si="3">(F2/$R$2)*100</f>
        <v>1.1925056687465863</v>
      </c>
      <c r="G22" s="1">
        <f t="shared" ref="G22:G28" si="4">(G2/$S$2)*100</f>
        <v>23.799834990421054</v>
      </c>
      <c r="H22" s="1">
        <f t="shared" ref="H22:H28" si="5">(H2/$T$2)*100</f>
        <v>0</v>
      </c>
      <c r="I22" s="1">
        <f t="shared" ref="I22:I28" si="6">(I2/$U$2)*100</f>
        <v>0</v>
      </c>
      <c r="J22" s="1">
        <f t="shared" ref="J22:J28" si="7">(J2/$V$2)*100</f>
        <v>30.77360015729797</v>
      </c>
      <c r="K22" s="1">
        <f t="shared" ref="K22:K28" si="8">(K2/$W$2)*100</f>
        <v>39.591315094420757</v>
      </c>
    </row>
    <row r="23" spans="1:11" x14ac:dyDescent="0.25">
      <c r="A23" t="s">
        <v>14</v>
      </c>
      <c r="B23" s="1">
        <f t="shared" si="0"/>
        <v>0</v>
      </c>
      <c r="C23" s="1">
        <f>(C3/$O$2)*100</f>
        <v>0</v>
      </c>
      <c r="D23" s="1">
        <f t="shared" si="1"/>
        <v>0</v>
      </c>
      <c r="E23" s="1">
        <f t="shared" si="2"/>
        <v>35.358749851135769</v>
      </c>
      <c r="F23" s="1">
        <f t="shared" si="3"/>
        <v>69.128916400470047</v>
      </c>
      <c r="G23" s="1">
        <f t="shared" si="4"/>
        <v>33.548335221154787</v>
      </c>
      <c r="H23" s="1">
        <f t="shared" si="5"/>
        <v>0</v>
      </c>
      <c r="I23" s="1">
        <f t="shared" si="6"/>
        <v>13.292188001227231</v>
      </c>
      <c r="J23" s="1">
        <f t="shared" si="7"/>
        <v>0</v>
      </c>
      <c r="K23" s="1">
        <f t="shared" si="8"/>
        <v>14.027372141216707</v>
      </c>
    </row>
    <row r="24" spans="1:11" x14ac:dyDescent="0.25">
      <c r="A24" t="s">
        <v>15</v>
      </c>
      <c r="B24" s="1">
        <f t="shared" si="0"/>
        <v>0</v>
      </c>
      <c r="C24" s="1">
        <v>0</v>
      </c>
      <c r="D24" s="1">
        <f t="shared" si="1"/>
        <v>0</v>
      </c>
      <c r="E24" s="1">
        <f t="shared" si="2"/>
        <v>0</v>
      </c>
      <c r="F24" s="1">
        <f t="shared" si="3"/>
        <v>0</v>
      </c>
      <c r="G24" s="1">
        <f t="shared" si="4"/>
        <v>0</v>
      </c>
      <c r="H24" s="1">
        <f t="shared" si="5"/>
        <v>8.5423017446585892</v>
      </c>
      <c r="I24" s="1">
        <f t="shared" si="6"/>
        <v>0</v>
      </c>
      <c r="J24" s="1">
        <f t="shared" si="7"/>
        <v>0</v>
      </c>
      <c r="K24" s="1">
        <f t="shared" si="8"/>
        <v>0</v>
      </c>
    </row>
    <row r="25" spans="1:11" x14ac:dyDescent="0.25">
      <c r="A25" t="s">
        <v>16</v>
      </c>
      <c r="B25" s="1">
        <f t="shared" si="0"/>
        <v>0</v>
      </c>
      <c r="C25" s="1">
        <f>(C5/$O$2)*100</f>
        <v>12.492135375254954</v>
      </c>
      <c r="D25" s="1">
        <f t="shared" si="1"/>
        <v>0</v>
      </c>
      <c r="E25" s="1">
        <f t="shared" si="2"/>
        <v>0</v>
      </c>
      <c r="F25" s="1">
        <f t="shared" si="3"/>
        <v>0</v>
      </c>
      <c r="G25" s="1">
        <f t="shared" si="4"/>
        <v>2.8708869964061474</v>
      </c>
      <c r="H25" s="1">
        <f t="shared" si="5"/>
        <v>1.2927115087232928</v>
      </c>
      <c r="I25" s="1">
        <f t="shared" si="6"/>
        <v>0.4765655412153364</v>
      </c>
      <c r="J25" s="1">
        <f t="shared" si="7"/>
        <v>20.601817665435956</v>
      </c>
      <c r="K25" s="1">
        <f t="shared" si="8"/>
        <v>0</v>
      </c>
    </row>
    <row r="26" spans="1:11" x14ac:dyDescent="0.25">
      <c r="A26" t="s">
        <v>17</v>
      </c>
      <c r="B26" s="1">
        <f t="shared" si="0"/>
        <v>0</v>
      </c>
      <c r="C26" s="1">
        <f>(C6/$O$2)*100</f>
        <v>3.5039928094859474</v>
      </c>
      <c r="D26" s="1">
        <f t="shared" si="1"/>
        <v>0</v>
      </c>
      <c r="E26" s="1">
        <f t="shared" si="2"/>
        <v>0</v>
      </c>
      <c r="F26" s="1">
        <f t="shared" si="3"/>
        <v>0</v>
      </c>
      <c r="G26" s="1">
        <f t="shared" si="4"/>
        <v>0</v>
      </c>
      <c r="H26" s="1">
        <f t="shared" si="5"/>
        <v>2.1228577882200308</v>
      </c>
      <c r="I26" s="1">
        <f t="shared" si="6"/>
        <v>0.79413612623989849</v>
      </c>
      <c r="J26" s="1">
        <f t="shared" si="7"/>
        <v>1.1766325126166082</v>
      </c>
      <c r="K26" s="1">
        <f t="shared" si="8"/>
        <v>0</v>
      </c>
    </row>
    <row r="27" spans="1:11" x14ac:dyDescent="0.25">
      <c r="A27" t="s">
        <v>18</v>
      </c>
      <c r="B27" s="1">
        <f t="shared" si="0"/>
        <v>0</v>
      </c>
      <c r="C27" s="1">
        <f>(C7/$O$2)*100</f>
        <v>0</v>
      </c>
      <c r="D27" s="1">
        <f t="shared" si="1"/>
        <v>0</v>
      </c>
      <c r="E27" s="1">
        <f t="shared" si="2"/>
        <v>0</v>
      </c>
      <c r="F27" s="1">
        <f t="shared" si="3"/>
        <v>0</v>
      </c>
      <c r="G27" s="1">
        <f t="shared" si="4"/>
        <v>0</v>
      </c>
      <c r="H27" s="1">
        <f t="shared" si="5"/>
        <v>7.8390906230151298</v>
      </c>
      <c r="I27" s="1">
        <f t="shared" si="6"/>
        <v>0</v>
      </c>
      <c r="J27" s="1">
        <f t="shared" si="7"/>
        <v>0</v>
      </c>
      <c r="K27" s="1">
        <f t="shared" si="8"/>
        <v>0</v>
      </c>
    </row>
    <row r="28" spans="1:11" x14ac:dyDescent="0.25">
      <c r="A28" t="s">
        <v>19</v>
      </c>
      <c r="B28" s="1">
        <f t="shared" si="0"/>
        <v>100</v>
      </c>
      <c r="C28" s="1">
        <f>(C8/$O$2)*100</f>
        <v>71.434300134822124</v>
      </c>
      <c r="D28" s="1">
        <f t="shared" si="1"/>
        <v>99.997309187778342</v>
      </c>
      <c r="E28" s="1">
        <f t="shared" si="2"/>
        <v>30.334646790487184</v>
      </c>
      <c r="F28" s="1">
        <f t="shared" si="3"/>
        <v>29.67857793078338</v>
      </c>
      <c r="G28" s="1">
        <f t="shared" si="4"/>
        <v>39.780942792018017</v>
      </c>
      <c r="H28" s="1">
        <f t="shared" si="5"/>
        <v>80.203038335382971</v>
      </c>
      <c r="I28" s="1">
        <f t="shared" si="6"/>
        <v>139.62601590788216</v>
      </c>
      <c r="J28" s="1">
        <f t="shared" si="7"/>
        <v>52.629279269438314</v>
      </c>
      <c r="K28" s="1">
        <f t="shared" si="8"/>
        <v>46.381312764362534</v>
      </c>
    </row>
    <row r="29" spans="1:1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E30" s="1"/>
    </row>
    <row r="31" spans="1:11" x14ac:dyDescent="0.25">
      <c r="B31" t="s">
        <v>92</v>
      </c>
      <c r="C31" t="s">
        <v>91</v>
      </c>
      <c r="D31" t="s">
        <v>90</v>
      </c>
      <c r="E31" t="s">
        <v>89</v>
      </c>
      <c r="F31" t="s">
        <v>88</v>
      </c>
      <c r="G31" t="s">
        <v>87</v>
      </c>
      <c r="H31" t="s">
        <v>86</v>
      </c>
      <c r="I31" t="s">
        <v>85</v>
      </c>
      <c r="J31" t="s">
        <v>84</v>
      </c>
      <c r="K31" t="s">
        <v>83</v>
      </c>
    </row>
    <row r="32" spans="1:11" x14ac:dyDescent="0.25">
      <c r="A32" t="s">
        <v>13</v>
      </c>
      <c r="B32" s="1">
        <f t="shared" ref="B32:B38" si="9">(B12/$N$5)*100</f>
        <v>4.8714254007106579</v>
      </c>
      <c r="C32" s="1">
        <f t="shared" ref="C32:C38" si="10">(C12/$O$5)*100</f>
        <v>1.763347250599627</v>
      </c>
      <c r="D32" s="1">
        <f t="shared" ref="D32:D38" si="11">(D12/$P$5)*100</f>
        <v>25.799080283712133</v>
      </c>
      <c r="E32" s="1">
        <f t="shared" ref="E32:E38" si="12">(E12/$Q$5)*100</f>
        <v>0.63069848446067711</v>
      </c>
      <c r="F32" s="1">
        <f t="shared" ref="F32:F38" si="13">(F12/$R$5)*100</f>
        <v>0</v>
      </c>
      <c r="G32" s="1">
        <f t="shared" ref="G32:G38" si="14">(G12/$S$5)*100</f>
        <v>0</v>
      </c>
      <c r="H32" s="1">
        <f t="shared" ref="H32:H38" si="15">(H12/$T$5)*100</f>
        <v>3.8649147501071437</v>
      </c>
      <c r="I32" s="1">
        <f t="shared" ref="I32:I38" si="16">(I12/$U$5)*100</f>
        <v>24.347140387768615</v>
      </c>
      <c r="J32" s="1">
        <f t="shared" ref="J32:J38" si="17">(J12/$V$5)*100</f>
        <v>7.7691591063146328</v>
      </c>
      <c r="K32" s="1">
        <f t="shared" ref="K32:K38" si="18">(K12/$W$5)*100</f>
        <v>50.448348371962169</v>
      </c>
    </row>
    <row r="33" spans="1:15" x14ac:dyDescent="0.25">
      <c r="A33" t="s">
        <v>14</v>
      </c>
      <c r="B33" s="1">
        <f t="shared" si="9"/>
        <v>0</v>
      </c>
      <c r="C33" s="1">
        <f t="shared" si="10"/>
        <v>0</v>
      </c>
      <c r="D33" s="1">
        <f t="shared" si="11"/>
        <v>0</v>
      </c>
      <c r="E33" s="1">
        <f t="shared" si="12"/>
        <v>26.352485445011759</v>
      </c>
      <c r="F33" s="1">
        <f t="shared" si="13"/>
        <v>46.244299142987508</v>
      </c>
      <c r="G33" s="1">
        <f t="shared" si="14"/>
        <v>9.1455238863446233</v>
      </c>
      <c r="H33" s="1">
        <f t="shared" si="15"/>
        <v>2.1170327714845438</v>
      </c>
      <c r="I33" s="1">
        <f t="shared" si="16"/>
        <v>6.0209333766838284</v>
      </c>
      <c r="J33" s="1">
        <f t="shared" si="17"/>
        <v>0</v>
      </c>
      <c r="K33" s="1">
        <f t="shared" si="18"/>
        <v>3.4461427329771581</v>
      </c>
    </row>
    <row r="34" spans="1:15" x14ac:dyDescent="0.25">
      <c r="A34" t="s">
        <v>15</v>
      </c>
      <c r="B34" s="1">
        <f t="shared" si="9"/>
        <v>0</v>
      </c>
      <c r="C34" s="1">
        <f t="shared" si="10"/>
        <v>0</v>
      </c>
      <c r="D34" s="1">
        <f t="shared" si="11"/>
        <v>0</v>
      </c>
      <c r="E34" s="1">
        <f t="shared" si="12"/>
        <v>0.45038938641236442</v>
      </c>
      <c r="F34" s="1">
        <f t="shared" si="13"/>
        <v>0</v>
      </c>
      <c r="G34" s="1">
        <f t="shared" si="14"/>
        <v>0</v>
      </c>
      <c r="H34" s="1">
        <f t="shared" si="15"/>
        <v>0</v>
      </c>
      <c r="I34" s="1">
        <f t="shared" si="16"/>
        <v>0</v>
      </c>
      <c r="J34" s="1">
        <f t="shared" si="17"/>
        <v>0</v>
      </c>
      <c r="K34" s="1">
        <f t="shared" si="18"/>
        <v>2.4769412508308148</v>
      </c>
    </row>
    <row r="35" spans="1:15" x14ac:dyDescent="0.25">
      <c r="A35" t="s">
        <v>16</v>
      </c>
      <c r="B35" s="1">
        <f t="shared" si="9"/>
        <v>1.9950823059726883</v>
      </c>
      <c r="C35" s="1">
        <f t="shared" si="10"/>
        <v>0</v>
      </c>
      <c r="D35" s="1">
        <f t="shared" si="11"/>
        <v>0</v>
      </c>
      <c r="E35" s="1">
        <f t="shared" si="12"/>
        <v>0</v>
      </c>
      <c r="F35" s="1">
        <f t="shared" si="13"/>
        <v>0</v>
      </c>
      <c r="G35" s="1">
        <f t="shared" si="14"/>
        <v>0</v>
      </c>
      <c r="H35" s="1">
        <f t="shared" si="15"/>
        <v>1.5173230475567538</v>
      </c>
      <c r="I35" s="1">
        <f t="shared" si="16"/>
        <v>0</v>
      </c>
      <c r="J35" s="1">
        <f t="shared" si="17"/>
        <v>1.8389937190921566</v>
      </c>
      <c r="K35" s="1">
        <f t="shared" si="18"/>
        <v>0</v>
      </c>
    </row>
    <row r="36" spans="1:15" x14ac:dyDescent="0.25">
      <c r="A36" t="s">
        <v>17</v>
      </c>
      <c r="B36" s="1">
        <f t="shared" si="9"/>
        <v>0</v>
      </c>
      <c r="C36" s="1">
        <f t="shared" si="10"/>
        <v>1.2405079422367562</v>
      </c>
      <c r="D36" s="1">
        <f t="shared" si="11"/>
        <v>0</v>
      </c>
      <c r="E36" s="1">
        <f t="shared" si="12"/>
        <v>0</v>
      </c>
      <c r="F36" s="1">
        <f t="shared" si="13"/>
        <v>0</v>
      </c>
      <c r="G36" s="1">
        <f t="shared" si="14"/>
        <v>9.0050068721774998</v>
      </c>
      <c r="H36" s="1">
        <f t="shared" si="15"/>
        <v>3.8432990153485078</v>
      </c>
      <c r="I36" s="1">
        <f t="shared" si="16"/>
        <v>0.13607455037506755</v>
      </c>
      <c r="J36" s="1">
        <f t="shared" si="17"/>
        <v>4.7702843938974011</v>
      </c>
      <c r="K36" s="1">
        <f t="shared" si="18"/>
        <v>3.0319538098474297</v>
      </c>
    </row>
    <row r="37" spans="1:15" x14ac:dyDescent="0.25">
      <c r="A37" t="s">
        <v>18</v>
      </c>
      <c r="B37" s="1">
        <f t="shared" si="9"/>
        <v>7.5780356915489833</v>
      </c>
      <c r="C37" s="1">
        <f t="shared" si="10"/>
        <v>0</v>
      </c>
      <c r="D37" s="1">
        <f t="shared" si="11"/>
        <v>0</v>
      </c>
      <c r="E37" s="1">
        <f t="shared" si="12"/>
        <v>0</v>
      </c>
      <c r="F37" s="1">
        <f t="shared" si="13"/>
        <v>11.119360306550746</v>
      </c>
      <c r="G37" s="1">
        <f t="shared" si="14"/>
        <v>0</v>
      </c>
      <c r="H37" s="1">
        <f t="shared" si="15"/>
        <v>0</v>
      </c>
      <c r="I37" s="1">
        <f t="shared" si="16"/>
        <v>0</v>
      </c>
      <c r="J37" s="1">
        <f t="shared" si="17"/>
        <v>0</v>
      </c>
      <c r="K37" s="1">
        <f t="shared" si="18"/>
        <v>0</v>
      </c>
    </row>
    <row r="38" spans="1:15" x14ac:dyDescent="0.25">
      <c r="A38" t="s">
        <v>19</v>
      </c>
      <c r="B38" s="1">
        <f t="shared" si="9"/>
        <v>85.555456601767659</v>
      </c>
      <c r="C38" s="1">
        <f t="shared" si="10"/>
        <v>96.996144807163617</v>
      </c>
      <c r="D38" s="1">
        <f t="shared" si="11"/>
        <v>74.200919716287856</v>
      </c>
      <c r="E38" s="1">
        <f t="shared" si="12"/>
        <v>72.566426684115186</v>
      </c>
      <c r="F38" s="1">
        <f t="shared" si="13"/>
        <v>42.636340550461746</v>
      </c>
      <c r="G38" s="1">
        <f t="shared" si="14"/>
        <v>81.849469241477891</v>
      </c>
      <c r="H38" s="1">
        <f t="shared" si="15"/>
        <v>88.657430415503043</v>
      </c>
      <c r="I38" s="1">
        <f t="shared" si="16"/>
        <v>81.67379298891521</v>
      </c>
      <c r="J38" s="1">
        <f t="shared" si="17"/>
        <v>85.621562780695797</v>
      </c>
      <c r="K38" s="1">
        <f t="shared" si="18"/>
        <v>40.596613834382438</v>
      </c>
    </row>
    <row r="39" spans="1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5" x14ac:dyDescent="0.25">
      <c r="A41" t="s">
        <v>37</v>
      </c>
      <c r="B41" s="1">
        <f t="shared" ref="B41:K41" si="19">SUM(B22:B24)</f>
        <v>0</v>
      </c>
      <c r="C41" s="1">
        <f t="shared" si="19"/>
        <v>12.569571680436963</v>
      </c>
      <c r="D41" s="1">
        <f t="shared" si="19"/>
        <v>0</v>
      </c>
      <c r="E41" s="1">
        <f t="shared" si="19"/>
        <v>69.665353209512801</v>
      </c>
      <c r="F41" s="1">
        <f t="shared" si="19"/>
        <v>70.321422069216638</v>
      </c>
      <c r="G41" s="1">
        <f t="shared" si="19"/>
        <v>57.348170211575841</v>
      </c>
      <c r="H41" s="1">
        <f t="shared" si="19"/>
        <v>8.5423017446585892</v>
      </c>
      <c r="I41" s="1">
        <f t="shared" si="19"/>
        <v>13.292188001227231</v>
      </c>
      <c r="J41" s="1">
        <f t="shared" si="19"/>
        <v>30.77360015729797</v>
      </c>
      <c r="K41" s="1">
        <f t="shared" si="19"/>
        <v>53.618687235637466</v>
      </c>
      <c r="O41" s="1"/>
    </row>
    <row r="42" spans="1:15" x14ac:dyDescent="0.25">
      <c r="A42" t="s">
        <v>38</v>
      </c>
      <c r="B42" s="1">
        <f t="shared" ref="B42:K42" si="20">SUM(B25:B29)</f>
        <v>100</v>
      </c>
      <c r="C42" s="1">
        <f t="shared" si="20"/>
        <v>87.430428319563021</v>
      </c>
      <c r="D42" s="1">
        <f t="shared" si="20"/>
        <v>99.997309187778342</v>
      </c>
      <c r="E42" s="1">
        <f t="shared" si="20"/>
        <v>30.334646790487184</v>
      </c>
      <c r="F42" s="1">
        <f t="shared" si="20"/>
        <v>29.67857793078338</v>
      </c>
      <c r="G42" s="1">
        <f t="shared" si="20"/>
        <v>42.651829788424166</v>
      </c>
      <c r="H42" s="1">
        <f t="shared" si="20"/>
        <v>91.457698255341427</v>
      </c>
      <c r="I42" s="1">
        <f t="shared" si="20"/>
        <v>140.89671757533739</v>
      </c>
      <c r="J42" s="1">
        <f t="shared" si="20"/>
        <v>74.40772944749088</v>
      </c>
      <c r="K42" s="1">
        <f t="shared" si="20"/>
        <v>46.381312764362534</v>
      </c>
    </row>
    <row r="43" spans="1:1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5" x14ac:dyDescent="0.25">
      <c r="A44" t="s">
        <v>37</v>
      </c>
      <c r="B44" s="1">
        <f t="shared" ref="B44:K44" si="21">SUM(B32:B34)</f>
        <v>4.8714254007106579</v>
      </c>
      <c r="C44" s="1">
        <f t="shared" si="21"/>
        <v>1.763347250599627</v>
      </c>
      <c r="D44" s="1">
        <f t="shared" si="21"/>
        <v>25.799080283712133</v>
      </c>
      <c r="E44" s="1">
        <f t="shared" si="21"/>
        <v>27.4335733158848</v>
      </c>
      <c r="F44" s="1">
        <f t="shared" si="21"/>
        <v>46.244299142987508</v>
      </c>
      <c r="G44" s="1">
        <f t="shared" si="21"/>
        <v>9.1455238863446233</v>
      </c>
      <c r="H44" s="1">
        <f t="shared" si="21"/>
        <v>5.9819475215916871</v>
      </c>
      <c r="I44" s="1">
        <f t="shared" si="21"/>
        <v>30.368073764452443</v>
      </c>
      <c r="J44" s="1">
        <f t="shared" si="21"/>
        <v>7.7691591063146328</v>
      </c>
      <c r="K44" s="1">
        <f t="shared" si="21"/>
        <v>56.371432355770139</v>
      </c>
    </row>
    <row r="45" spans="1:15" x14ac:dyDescent="0.25">
      <c r="A45" t="s">
        <v>38</v>
      </c>
      <c r="B45" s="1">
        <f t="shared" ref="B45:K45" si="22">SUM(B35:B39)</f>
        <v>95.128574599289337</v>
      </c>
      <c r="C45" s="1">
        <f t="shared" si="22"/>
        <v>98.236652749400378</v>
      </c>
      <c r="D45" s="1">
        <f t="shared" si="22"/>
        <v>74.200919716287856</v>
      </c>
      <c r="E45" s="1">
        <f t="shared" si="22"/>
        <v>72.566426684115186</v>
      </c>
      <c r="F45" s="1">
        <f t="shared" si="22"/>
        <v>53.755700857012492</v>
      </c>
      <c r="G45" s="1">
        <f t="shared" si="22"/>
        <v>90.854476113655394</v>
      </c>
      <c r="H45" s="1">
        <f t="shared" si="22"/>
        <v>94.018052478408308</v>
      </c>
      <c r="I45" s="1">
        <f t="shared" si="22"/>
        <v>81.809867539290281</v>
      </c>
      <c r="J45" s="1">
        <f t="shared" si="22"/>
        <v>92.230840893685354</v>
      </c>
      <c r="K45" s="1">
        <f t="shared" si="22"/>
        <v>43.628567644229868</v>
      </c>
    </row>
    <row r="47" spans="1:15" x14ac:dyDescent="0.25">
      <c r="A47" t="s">
        <v>45</v>
      </c>
      <c r="B47" s="1">
        <f t="shared" ref="B47:K47" si="23">B23+B24+B26+B28+B29</f>
        <v>100</v>
      </c>
      <c r="C47" s="1">
        <f t="shared" si="23"/>
        <v>74.938292944308074</v>
      </c>
      <c r="D47" s="1">
        <f t="shared" si="23"/>
        <v>99.997309187778342</v>
      </c>
      <c r="E47" s="1">
        <f t="shared" si="23"/>
        <v>65.693396641622954</v>
      </c>
      <c r="F47" s="1">
        <f t="shared" si="23"/>
        <v>98.807494331253423</v>
      </c>
      <c r="G47" s="1">
        <f t="shared" si="23"/>
        <v>73.329278013172797</v>
      </c>
      <c r="H47" s="1">
        <f t="shared" si="23"/>
        <v>90.868197868261589</v>
      </c>
      <c r="I47" s="1">
        <f t="shared" si="23"/>
        <v>153.71234003534929</v>
      </c>
      <c r="J47" s="1">
        <f t="shared" si="23"/>
        <v>53.80591178205492</v>
      </c>
      <c r="K47" s="1">
        <f t="shared" si="23"/>
        <v>60.408684905579243</v>
      </c>
    </row>
    <row r="48" spans="1:15" x14ac:dyDescent="0.25">
      <c r="A48" t="s">
        <v>46</v>
      </c>
      <c r="B48" s="1">
        <f t="shared" ref="B48:K48" si="24">B22+B25+B27</f>
        <v>0</v>
      </c>
      <c r="C48" s="1">
        <f t="shared" si="24"/>
        <v>25.061707055691919</v>
      </c>
      <c r="D48" s="1">
        <f t="shared" si="24"/>
        <v>0</v>
      </c>
      <c r="E48" s="1">
        <f t="shared" si="24"/>
        <v>34.306603358377039</v>
      </c>
      <c r="F48" s="1">
        <f t="shared" si="24"/>
        <v>1.1925056687465863</v>
      </c>
      <c r="G48" s="1">
        <f t="shared" si="24"/>
        <v>26.670721986827203</v>
      </c>
      <c r="H48" s="1">
        <f t="shared" si="24"/>
        <v>9.1318021317384233</v>
      </c>
      <c r="I48" s="1">
        <f t="shared" si="24"/>
        <v>0.4765655412153364</v>
      </c>
      <c r="J48" s="1">
        <f t="shared" si="24"/>
        <v>51.375417822733922</v>
      </c>
      <c r="K48" s="1">
        <f t="shared" si="24"/>
        <v>39.591315094420757</v>
      </c>
    </row>
    <row r="50" spans="1:11" x14ac:dyDescent="0.25">
      <c r="A50" t="s">
        <v>45</v>
      </c>
      <c r="B50" s="1">
        <f t="shared" ref="B50:K50" si="25">B33+B34+B36+B38+B39</f>
        <v>85.555456601767659</v>
      </c>
      <c r="C50" s="1">
        <f t="shared" si="25"/>
        <v>98.236652749400378</v>
      </c>
      <c r="D50" s="1">
        <f t="shared" si="25"/>
        <v>74.200919716287856</v>
      </c>
      <c r="E50" s="1">
        <f t="shared" si="25"/>
        <v>99.369301515539306</v>
      </c>
      <c r="F50" s="1">
        <f t="shared" si="25"/>
        <v>88.880639693449254</v>
      </c>
      <c r="G50" s="1">
        <f t="shared" si="25"/>
        <v>100.00000000000001</v>
      </c>
      <c r="H50" s="1">
        <f t="shared" si="25"/>
        <v>94.617762202336095</v>
      </c>
      <c r="I50" s="1">
        <f t="shared" si="25"/>
        <v>87.830800915974109</v>
      </c>
      <c r="J50" s="1">
        <f t="shared" si="25"/>
        <v>90.391847174593195</v>
      </c>
      <c r="K50" s="1">
        <f t="shared" si="25"/>
        <v>49.551651628037845</v>
      </c>
    </row>
    <row r="51" spans="1:11" x14ac:dyDescent="0.25">
      <c r="A51" t="s">
        <v>46</v>
      </c>
      <c r="B51" s="1">
        <f t="shared" ref="B51:K51" si="26">B32+B35+B37</f>
        <v>14.44454339823233</v>
      </c>
      <c r="C51" s="1">
        <f t="shared" si="26"/>
        <v>1.763347250599627</v>
      </c>
      <c r="D51" s="1">
        <f t="shared" si="26"/>
        <v>25.799080283712133</v>
      </c>
      <c r="E51" s="1">
        <f t="shared" si="26"/>
        <v>0.63069848446067711</v>
      </c>
      <c r="F51" s="1">
        <f t="shared" si="26"/>
        <v>11.119360306550746</v>
      </c>
      <c r="G51" s="1">
        <f t="shared" si="26"/>
        <v>0</v>
      </c>
      <c r="H51" s="1">
        <f t="shared" si="26"/>
        <v>5.3822377976638975</v>
      </c>
      <c r="I51" s="1">
        <f t="shared" si="26"/>
        <v>24.347140387768615</v>
      </c>
      <c r="J51" s="1">
        <f t="shared" si="26"/>
        <v>9.6081528254067887</v>
      </c>
      <c r="K51" s="1">
        <f t="shared" si="26"/>
        <v>50.448348371962169</v>
      </c>
    </row>
    <row r="53" spans="1:1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6" spans="1:1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conditionalFormatting sqref="B41:K41">
    <cfRule type="colorScale" priority="15">
      <colorScale>
        <cfvo type="min"/>
        <cfvo type="max"/>
        <color rgb="FFFCFCFF"/>
        <color rgb="FF63BE7B"/>
      </colorScale>
    </cfRule>
  </conditionalFormatting>
  <conditionalFormatting sqref="B42:K42">
    <cfRule type="colorScale" priority="14">
      <colorScale>
        <cfvo type="min"/>
        <cfvo type="max"/>
        <color rgb="FFFCFCFF"/>
        <color rgb="FFF8696B"/>
      </colorScale>
    </cfRule>
  </conditionalFormatting>
  <conditionalFormatting sqref="B44:K44">
    <cfRule type="colorScale" priority="13">
      <colorScale>
        <cfvo type="min"/>
        <cfvo type="max"/>
        <color rgb="FFFCFCFF"/>
        <color rgb="FF63BE7B"/>
      </colorScale>
    </cfRule>
  </conditionalFormatting>
  <conditionalFormatting sqref="B45:K45">
    <cfRule type="colorScale" priority="12">
      <colorScale>
        <cfvo type="min"/>
        <cfvo type="max"/>
        <color rgb="FFFCFCFF"/>
        <color rgb="FFF8696B"/>
      </colorScale>
    </cfRule>
  </conditionalFormatting>
  <conditionalFormatting sqref="B47:K47">
    <cfRule type="colorScale" priority="7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11">
      <colorScale>
        <cfvo type="min"/>
        <cfvo type="max"/>
        <color rgb="FFFCFCFF"/>
        <color rgb="FF63BE7B"/>
      </colorScale>
    </cfRule>
  </conditionalFormatting>
  <conditionalFormatting sqref="B48:K48">
    <cfRule type="colorScale" priority="5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10">
      <colorScale>
        <cfvo type="min"/>
        <cfvo type="max"/>
        <color rgb="FFFCFCFF"/>
        <color rgb="FFF8696B"/>
      </colorScale>
    </cfRule>
  </conditionalFormatting>
  <conditionalFormatting sqref="B50:K50">
    <cfRule type="colorScale" priority="6">
      <colorScale>
        <cfvo type="min"/>
        <cfvo type="percentile" val="50"/>
        <cfvo type="max"/>
        <color theme="0"/>
        <color theme="8" tint="0.59999389629810485"/>
        <color theme="8" tint="-0.249977111117893"/>
      </colorScale>
    </cfRule>
    <cfRule type="colorScale" priority="9">
      <colorScale>
        <cfvo type="min"/>
        <cfvo type="max"/>
        <color rgb="FFFCFCFF"/>
        <color rgb="FF63BE7B"/>
      </colorScale>
    </cfRule>
  </conditionalFormatting>
  <conditionalFormatting sqref="B51:K51">
    <cfRule type="colorScale" priority="4">
      <colorScale>
        <cfvo type="min"/>
        <cfvo type="percentile" val="50"/>
        <cfvo type="max"/>
        <color theme="0"/>
        <color theme="7" tint="0.79998168889431442"/>
        <color theme="7" tint="0.39997558519241921"/>
      </colorScale>
    </cfRule>
    <cfRule type="colorScale" priority="8">
      <colorScale>
        <cfvo type="min"/>
        <cfvo type="max"/>
        <color rgb="FFFCFCFF"/>
        <color rgb="FFF8696B"/>
      </colorScale>
    </cfRule>
  </conditionalFormatting>
  <conditionalFormatting sqref="B53:K53 B56:K56">
    <cfRule type="colorScale" priority="3">
      <colorScale>
        <cfvo type="min"/>
        <cfvo type="percentile" val="50"/>
        <cfvo type="max"/>
        <color theme="0"/>
        <color rgb="FFFCBAF9"/>
        <color rgb="FFF747EF"/>
      </colorScale>
    </cfRule>
  </conditionalFormatting>
  <conditionalFormatting sqref="B54:K54 B57:K57">
    <cfRule type="colorScale" priority="1">
      <colorScale>
        <cfvo type="min"/>
        <cfvo type="percentile" val="50"/>
        <cfvo type="max"/>
        <color theme="0"/>
        <color rgb="FFC6C7F6"/>
        <color rgb="FF595CE5"/>
      </colorScale>
    </cfRule>
    <cfRule type="colorScale" priority="2">
      <colorScale>
        <cfvo type="min"/>
        <cfvo type="percentile" val="50"/>
        <cfvo type="max"/>
        <color theme="0"/>
        <color rgb="FFF2FA8A"/>
        <color rgb="FFE5F513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A107CBCCD232418E9FADAF14518918" ma:contentTypeVersion="18" ma:contentTypeDescription="Create a new document." ma:contentTypeScope="" ma:versionID="ba4da5448ad6788252f0ddf8d2135d68">
  <xsd:schema xmlns:xsd="http://www.w3.org/2001/XMLSchema" xmlns:xs="http://www.w3.org/2001/XMLSchema" xmlns:p="http://schemas.microsoft.com/office/2006/metadata/properties" xmlns:ns3="98edc5a6-3e8b-4bbb-92ff-c6724874f7ff" xmlns:ns4="97487c98-71b3-4afc-a0e9-d5f99acd025b" targetNamespace="http://schemas.microsoft.com/office/2006/metadata/properties" ma:root="true" ma:fieldsID="b2b0f8c136742ebf2156561ba1d41ff0" ns3:_="" ns4:_="">
    <xsd:import namespace="98edc5a6-3e8b-4bbb-92ff-c6724874f7ff"/>
    <xsd:import namespace="97487c98-71b3-4afc-a0e9-d5f99acd02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dc5a6-3e8b-4bbb-92ff-c6724874f7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87c98-71b3-4afc-a0e9-d5f99acd025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edc5a6-3e8b-4bbb-92ff-c6724874f7ff" xsi:nil="true"/>
  </documentManagement>
</p:properties>
</file>

<file path=customXml/itemProps1.xml><?xml version="1.0" encoding="utf-8"?>
<ds:datastoreItem xmlns:ds="http://schemas.openxmlformats.org/officeDocument/2006/customXml" ds:itemID="{C4CC596E-10DF-410A-A58F-6AE30B967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73CFA-F18D-43B1-A4F7-072A3DC2C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edc5a6-3e8b-4bbb-92ff-c6724874f7ff"/>
    <ds:schemaRef ds:uri="97487c98-71b3-4afc-a0e9-d5f99acd02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5DD7D4-1EA3-4115-9BB0-B814C37BDE59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97487c98-71b3-4afc-a0e9-d5f99acd025b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98edc5a6-3e8b-4bbb-92ff-c6724874f7ff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Thickness and amalgamation</vt:lpstr>
      <vt:lpstr>FA% on log (10m)</vt:lpstr>
      <vt:lpstr>Outcrop FA% (10m)</vt:lpstr>
      <vt:lpstr>FA% on log (10%)</vt:lpstr>
      <vt:lpstr>Outcrop FA% (10%)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Marsden (PhD Earth Sciences FT)</dc:creator>
  <cp:lastModifiedBy>Marie Marsden (PhD Earth Sciences FT)</cp:lastModifiedBy>
  <dcterms:created xsi:type="dcterms:W3CDTF">2024-10-29T15:00:27Z</dcterms:created>
  <dcterms:modified xsi:type="dcterms:W3CDTF">2025-05-23T11:24:53Z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0x01010010A107CBCCD232418E9FADAF14518918</vt:lpwstr>
  </property>
</Properties>
</file>