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iscoeh\OneDrive - University of Birmingham\Papers\CALB LFP\Draft\Shared\Review\UBIRA Submission\LCA\"/>
    </mc:Choice>
  </mc:AlternateContent>
  <xr:revisionPtr revIDLastSave="2450" documentId="8_{E1287B8C-D23C-FD4E-BAE9-F83D63437E9C}" xr6:coauthVersionLast="36" xr6:coauthVersionMax="47" xr10:uidLastSave="{B0D45BCA-BD21-4946-92B9-397D8C561370}"/>
  <bookViews>
    <workbookView xWindow="-38400" yWindow="-5460" windowWidth="38400" windowHeight="21105" firstSheet="1" activeTab="5" xr2:uid="{5A5B1518-7F45-CA4D-BCF7-C4E2A0F0B530}"/>
  </bookViews>
  <sheets>
    <sheet name="Direct Recycling LFP_CAM" sheetId="6" r:id="rId1"/>
    <sheet name="Direct Recycling LFP_full recov" sheetId="10" r:id="rId2"/>
    <sheet name="Select cat_Impact assesment " sheetId="13" r:id="rId3"/>
    <sheet name="Impact assesment" sheetId="8" r:id="rId4"/>
    <sheet name="Primary vs Secondary LFP" sheetId="5" r:id="rId5"/>
    <sheet name="Input data from lab" sheetId="4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91028" calcMode="manual" iterate="1" iterateDelta="1.0000000000000001E-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" i="10" l="1"/>
  <c r="K48" i="10"/>
  <c r="K49" i="10"/>
  <c r="K50" i="10"/>
  <c r="K51" i="10"/>
  <c r="K52" i="10"/>
  <c r="K53" i="10"/>
  <c r="K54" i="10"/>
  <c r="K55" i="10"/>
  <c r="K56" i="10"/>
  <c r="K57" i="10"/>
  <c r="K58" i="10"/>
  <c r="K46" i="10"/>
  <c r="K47" i="6"/>
  <c r="K48" i="6"/>
  <c r="K49" i="6"/>
  <c r="K50" i="6"/>
  <c r="K51" i="6"/>
  <c r="K52" i="6"/>
  <c r="K53" i="6"/>
  <c r="K54" i="6"/>
  <c r="K55" i="6"/>
  <c r="K56" i="6"/>
  <c r="K57" i="6"/>
  <c r="K58" i="6"/>
  <c r="K46" i="6"/>
  <c r="H6" i="13"/>
  <c r="I6" i="13"/>
  <c r="J6" i="13"/>
  <c r="K6" i="13"/>
  <c r="L6" i="13"/>
  <c r="M6" i="13"/>
  <c r="N6" i="13"/>
  <c r="O6" i="13"/>
  <c r="P6" i="13"/>
  <c r="Q6" i="13"/>
  <c r="H7" i="13"/>
  <c r="I7" i="13"/>
  <c r="J7" i="13"/>
  <c r="K7" i="13"/>
  <c r="L7" i="13"/>
  <c r="M7" i="13"/>
  <c r="N7" i="13"/>
  <c r="O7" i="13"/>
  <c r="P7" i="13"/>
  <c r="Q7" i="13"/>
  <c r="H8" i="13"/>
  <c r="I8" i="13"/>
  <c r="J8" i="13"/>
  <c r="K8" i="13"/>
  <c r="L8" i="13"/>
  <c r="M8" i="13"/>
  <c r="N8" i="13"/>
  <c r="O8" i="13"/>
  <c r="P8" i="13"/>
  <c r="Q8" i="13"/>
  <c r="H9" i="13"/>
  <c r="I9" i="13"/>
  <c r="J9" i="13"/>
  <c r="K9" i="13"/>
  <c r="L9" i="13"/>
  <c r="M9" i="13"/>
  <c r="N9" i="13"/>
  <c r="O9" i="13"/>
  <c r="P9" i="13"/>
  <c r="Q9" i="13"/>
  <c r="H10" i="13"/>
  <c r="I10" i="13"/>
  <c r="J10" i="13"/>
  <c r="K10" i="13"/>
  <c r="L10" i="13"/>
  <c r="M10" i="13"/>
  <c r="N10" i="13"/>
  <c r="O10" i="13"/>
  <c r="P10" i="13"/>
  <c r="Q10" i="13"/>
  <c r="H11" i="13"/>
  <c r="I11" i="13"/>
  <c r="J11" i="13"/>
  <c r="K11" i="13"/>
  <c r="L11" i="13"/>
  <c r="M11" i="13"/>
  <c r="N11" i="13"/>
  <c r="O11" i="13"/>
  <c r="P11" i="13"/>
  <c r="Q11" i="13"/>
  <c r="H12" i="13"/>
  <c r="I12" i="13"/>
  <c r="J12" i="13"/>
  <c r="K12" i="13"/>
  <c r="L12" i="13"/>
  <c r="M12" i="13"/>
  <c r="N12" i="13"/>
  <c r="O12" i="13"/>
  <c r="P12" i="13"/>
  <c r="Q12" i="13"/>
  <c r="H13" i="13"/>
  <c r="I13" i="13"/>
  <c r="J13" i="13"/>
  <c r="K13" i="13"/>
  <c r="L13" i="13"/>
  <c r="M13" i="13"/>
  <c r="N13" i="13"/>
  <c r="O13" i="13"/>
  <c r="P13" i="13"/>
  <c r="Q13" i="13"/>
  <c r="G8" i="13"/>
  <c r="G7" i="13"/>
  <c r="R7" i="13" s="1"/>
  <c r="G9" i="13"/>
  <c r="G10" i="13"/>
  <c r="G11" i="13"/>
  <c r="G12" i="13"/>
  <c r="G13" i="13"/>
  <c r="G6" i="13"/>
  <c r="D7" i="5"/>
  <c r="D35" i="5" s="1"/>
  <c r="D8" i="5"/>
  <c r="D9" i="5"/>
  <c r="D10" i="5"/>
  <c r="D11" i="5"/>
  <c r="D12" i="5"/>
  <c r="D13" i="5"/>
  <c r="D14" i="5"/>
  <c r="D15" i="5"/>
  <c r="D16" i="5"/>
  <c r="D17" i="5"/>
  <c r="D18" i="5"/>
  <c r="D37" i="5" s="1"/>
  <c r="D19" i="5"/>
  <c r="D20" i="5"/>
  <c r="D21" i="5"/>
  <c r="D22" i="5"/>
  <c r="D23" i="5"/>
  <c r="D24" i="5"/>
  <c r="D25" i="5"/>
  <c r="D26" i="5"/>
  <c r="D39" i="5" s="1"/>
  <c r="D27" i="5"/>
  <c r="D28" i="5"/>
  <c r="D40" i="5" s="1"/>
  <c r="D29" i="5"/>
  <c r="D30" i="5"/>
  <c r="D6" i="5"/>
  <c r="D34" i="5" s="1"/>
  <c r="C30" i="5"/>
  <c r="C41" i="5" s="1"/>
  <c r="C7" i="5"/>
  <c r="C35" i="5" s="1"/>
  <c r="C8" i="5"/>
  <c r="C9" i="5"/>
  <c r="C10" i="5"/>
  <c r="C11" i="5"/>
  <c r="C36" i="5" s="1"/>
  <c r="C12" i="5"/>
  <c r="C13" i="5"/>
  <c r="C14" i="5"/>
  <c r="C15" i="5"/>
  <c r="C16" i="5"/>
  <c r="C17" i="5"/>
  <c r="C18" i="5"/>
  <c r="C37" i="5" s="1"/>
  <c r="C19" i="5"/>
  <c r="C20" i="5"/>
  <c r="C21" i="5"/>
  <c r="C38" i="5" s="1"/>
  <c r="C22" i="5"/>
  <c r="C23" i="5"/>
  <c r="C24" i="5"/>
  <c r="C25" i="5"/>
  <c r="C26" i="5"/>
  <c r="C39" i="5" s="1"/>
  <c r="C27" i="5"/>
  <c r="C28" i="5"/>
  <c r="C29" i="5"/>
  <c r="C6" i="5"/>
  <c r="C34" i="5" s="1"/>
  <c r="Q5" i="13"/>
  <c r="P5" i="13"/>
  <c r="O5" i="13"/>
  <c r="N5" i="13"/>
  <c r="M5" i="13"/>
  <c r="L5" i="13"/>
  <c r="K5" i="13"/>
  <c r="J5" i="13"/>
  <c r="I5" i="13"/>
  <c r="H5" i="13"/>
  <c r="G5" i="13"/>
  <c r="K65" i="10"/>
  <c r="K68" i="10"/>
  <c r="K70" i="10"/>
  <c r="K72" i="10"/>
  <c r="K78" i="10"/>
  <c r="K80" i="10"/>
  <c r="K82" i="10"/>
  <c r="K85" i="10"/>
  <c r="K88" i="10"/>
  <c r="L88" i="10"/>
  <c r="H88" i="10"/>
  <c r="G88" i="10"/>
  <c r="F88" i="10"/>
  <c r="E88" i="10"/>
  <c r="D88" i="10"/>
  <c r="C88" i="10"/>
  <c r="L87" i="10"/>
  <c r="H87" i="10"/>
  <c r="G87" i="10"/>
  <c r="F87" i="10"/>
  <c r="E87" i="10"/>
  <c r="D87" i="10"/>
  <c r="C87" i="10"/>
  <c r="L86" i="10"/>
  <c r="H86" i="10"/>
  <c r="G86" i="10"/>
  <c r="F86" i="10"/>
  <c r="E86" i="10"/>
  <c r="D86" i="10"/>
  <c r="C86" i="10"/>
  <c r="L85" i="10"/>
  <c r="H85" i="10"/>
  <c r="G85" i="10"/>
  <c r="F85" i="10"/>
  <c r="E85" i="10"/>
  <c r="D85" i="10"/>
  <c r="C85" i="10"/>
  <c r="L84" i="10"/>
  <c r="H84" i="10"/>
  <c r="G84" i="10"/>
  <c r="F84" i="10"/>
  <c r="E84" i="10"/>
  <c r="D84" i="10"/>
  <c r="C84" i="10"/>
  <c r="L83" i="10"/>
  <c r="H83" i="10"/>
  <c r="G83" i="10"/>
  <c r="F83" i="10"/>
  <c r="E83" i="10"/>
  <c r="D83" i="10"/>
  <c r="C83" i="10"/>
  <c r="L82" i="10"/>
  <c r="H82" i="10"/>
  <c r="G82" i="10"/>
  <c r="F82" i="10"/>
  <c r="E82" i="10"/>
  <c r="D82" i="10"/>
  <c r="C82" i="10"/>
  <c r="L81" i="10"/>
  <c r="H81" i="10"/>
  <c r="G81" i="10"/>
  <c r="F81" i="10"/>
  <c r="E81" i="10"/>
  <c r="D81" i="10"/>
  <c r="C81" i="10"/>
  <c r="L80" i="10"/>
  <c r="H80" i="10"/>
  <c r="G80" i="10"/>
  <c r="F80" i="10"/>
  <c r="E80" i="10"/>
  <c r="D80" i="10"/>
  <c r="C80" i="10"/>
  <c r="L79" i="10"/>
  <c r="H79" i="10"/>
  <c r="G79" i="10"/>
  <c r="F79" i="10"/>
  <c r="E79" i="10"/>
  <c r="D79" i="10"/>
  <c r="C79" i="10"/>
  <c r="L78" i="10"/>
  <c r="H78" i="10"/>
  <c r="G78" i="10"/>
  <c r="F78" i="10"/>
  <c r="E78" i="10"/>
  <c r="D78" i="10"/>
  <c r="C78" i="10"/>
  <c r="L77" i="10"/>
  <c r="H77" i="10"/>
  <c r="G77" i="10"/>
  <c r="F77" i="10"/>
  <c r="E77" i="10"/>
  <c r="D77" i="10"/>
  <c r="C77" i="10"/>
  <c r="L76" i="10"/>
  <c r="H76" i="10"/>
  <c r="G76" i="10"/>
  <c r="F76" i="10"/>
  <c r="E76" i="10"/>
  <c r="D76" i="10"/>
  <c r="C76" i="10"/>
  <c r="L75" i="10"/>
  <c r="H75" i="10"/>
  <c r="G75" i="10"/>
  <c r="F75" i="10"/>
  <c r="E75" i="10"/>
  <c r="D75" i="10"/>
  <c r="C75" i="10"/>
  <c r="L74" i="10"/>
  <c r="H74" i="10"/>
  <c r="G74" i="10"/>
  <c r="F74" i="10"/>
  <c r="E74" i="10"/>
  <c r="D74" i="10"/>
  <c r="C74" i="10"/>
  <c r="L73" i="10"/>
  <c r="H73" i="10"/>
  <c r="G73" i="10"/>
  <c r="F73" i="10"/>
  <c r="E73" i="10"/>
  <c r="D73" i="10"/>
  <c r="C73" i="10"/>
  <c r="L72" i="10"/>
  <c r="H72" i="10"/>
  <c r="G72" i="10"/>
  <c r="F72" i="10"/>
  <c r="E72" i="10"/>
  <c r="D72" i="10"/>
  <c r="C72" i="10"/>
  <c r="L71" i="10"/>
  <c r="H71" i="10"/>
  <c r="G71" i="10"/>
  <c r="F71" i="10"/>
  <c r="E71" i="10"/>
  <c r="D71" i="10"/>
  <c r="C71" i="10"/>
  <c r="L70" i="10"/>
  <c r="H70" i="10"/>
  <c r="G70" i="10"/>
  <c r="F70" i="10"/>
  <c r="E70" i="10"/>
  <c r="D70" i="10"/>
  <c r="C70" i="10"/>
  <c r="L69" i="10"/>
  <c r="H69" i="10"/>
  <c r="G69" i="10"/>
  <c r="F69" i="10"/>
  <c r="E69" i="10"/>
  <c r="D69" i="10"/>
  <c r="C69" i="10"/>
  <c r="L68" i="10"/>
  <c r="H68" i="10"/>
  <c r="G68" i="10"/>
  <c r="F68" i="10"/>
  <c r="E68" i="10"/>
  <c r="D68" i="10"/>
  <c r="C68" i="10"/>
  <c r="L67" i="10"/>
  <c r="H67" i="10"/>
  <c r="G67" i="10"/>
  <c r="F67" i="10"/>
  <c r="E67" i="10"/>
  <c r="D67" i="10"/>
  <c r="C67" i="10"/>
  <c r="L66" i="10"/>
  <c r="H66" i="10"/>
  <c r="G66" i="10"/>
  <c r="F66" i="10"/>
  <c r="E66" i="10"/>
  <c r="D66" i="10"/>
  <c r="C66" i="10"/>
  <c r="L65" i="10"/>
  <c r="H65" i="10"/>
  <c r="G65" i="10"/>
  <c r="F65" i="10"/>
  <c r="E65" i="10"/>
  <c r="D65" i="10"/>
  <c r="C65" i="10"/>
  <c r="L64" i="10"/>
  <c r="H64" i="10"/>
  <c r="G64" i="10"/>
  <c r="F64" i="10"/>
  <c r="E64" i="10"/>
  <c r="D64" i="10"/>
  <c r="C64" i="10"/>
  <c r="K63" i="10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23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K65" i="6"/>
  <c r="K66" i="6"/>
  <c r="K66" i="10" s="1"/>
  <c r="K67" i="6"/>
  <c r="K68" i="6"/>
  <c r="K69" i="6"/>
  <c r="K70" i="6"/>
  <c r="K71" i="6"/>
  <c r="K72" i="6"/>
  <c r="K73" i="6"/>
  <c r="K74" i="6"/>
  <c r="K74" i="10" s="1"/>
  <c r="K75" i="6"/>
  <c r="K75" i="10" s="1"/>
  <c r="K76" i="6"/>
  <c r="K77" i="6"/>
  <c r="K77" i="10" s="1"/>
  <c r="K78" i="6"/>
  <c r="K79" i="6"/>
  <c r="K80" i="6"/>
  <c r="K81" i="6"/>
  <c r="K82" i="6"/>
  <c r="K83" i="6"/>
  <c r="K84" i="6"/>
  <c r="K84" i="10" s="1"/>
  <c r="K85" i="6"/>
  <c r="K86" i="6"/>
  <c r="K86" i="10" s="1"/>
  <c r="K87" i="6"/>
  <c r="K87" i="10" s="1"/>
  <c r="K88" i="6"/>
  <c r="K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64" i="6"/>
  <c r="K83" i="10" l="1"/>
  <c r="K73" i="10"/>
  <c r="K81" i="10"/>
  <c r="K64" i="10"/>
  <c r="K79" i="10"/>
  <c r="K71" i="10"/>
  <c r="K69" i="10"/>
  <c r="C40" i="5"/>
  <c r="K67" i="10"/>
  <c r="K76" i="10"/>
  <c r="D38" i="5"/>
  <c r="D36" i="5"/>
  <c r="D41" i="5"/>
  <c r="R11" i="13"/>
  <c r="R10" i="13"/>
  <c r="B16" i="10"/>
  <c r="F28" i="10" s="1"/>
  <c r="B52" i="10" s="1"/>
  <c r="H5" i="8"/>
  <c r="I5" i="8"/>
  <c r="J5" i="8"/>
  <c r="K5" i="8"/>
  <c r="L5" i="8"/>
  <c r="M5" i="8"/>
  <c r="N5" i="8"/>
  <c r="O5" i="8"/>
  <c r="P5" i="8"/>
  <c r="Q5" i="8"/>
  <c r="G5" i="8"/>
  <c r="K63" i="6"/>
  <c r="B16" i="6"/>
  <c r="A40" i="6" s="1"/>
  <c r="R12" i="13" l="1"/>
  <c r="R9" i="13"/>
  <c r="R13" i="13"/>
  <c r="R8" i="13"/>
  <c r="R6" i="13"/>
  <c r="F95" i="10"/>
  <c r="F105" i="10"/>
  <c r="F115" i="10"/>
  <c r="F101" i="10"/>
  <c r="F111" i="10"/>
  <c r="F104" i="10"/>
  <c r="F114" i="10"/>
  <c r="F117" i="10"/>
  <c r="F110" i="10"/>
  <c r="F113" i="10"/>
  <c r="F116" i="10"/>
  <c r="F98" i="10"/>
  <c r="F108" i="10"/>
  <c r="F106" i="10"/>
  <c r="F99" i="10"/>
  <c r="F109" i="10"/>
  <c r="F94" i="10"/>
  <c r="F102" i="10"/>
  <c r="F112" i="10"/>
  <c r="F97" i="10"/>
  <c r="F107" i="10"/>
  <c r="F100" i="10"/>
  <c r="F103" i="10"/>
  <c r="F96" i="10"/>
  <c r="F93" i="10"/>
  <c r="G11" i="10"/>
  <c r="G21" i="10"/>
  <c r="A40" i="10"/>
  <c r="D28" i="10"/>
  <c r="B53" i="10" s="1"/>
  <c r="G11" i="6"/>
  <c r="J6" i="6" s="1"/>
  <c r="G21" i="6"/>
  <c r="J28" i="6" s="1"/>
  <c r="M13" i="6"/>
  <c r="D28" i="6"/>
  <c r="F28" i="6"/>
  <c r="B52" i="6" s="1"/>
  <c r="C111" i="4"/>
  <c r="B110" i="4"/>
  <c r="C102" i="4"/>
  <c r="B101" i="4"/>
  <c r="B92" i="4"/>
  <c r="C94" i="4" s="1"/>
  <c r="C95" i="4"/>
  <c r="C87" i="4"/>
  <c r="C86" i="4"/>
  <c r="B84" i="4"/>
  <c r="C88" i="4" s="1"/>
  <c r="C80" i="4"/>
  <c r="B77" i="4"/>
  <c r="C79" i="4" s="1"/>
  <c r="C73" i="4"/>
  <c r="B67" i="4"/>
  <c r="C66" i="4"/>
  <c r="C64" i="4"/>
  <c r="B70" i="4" s="1"/>
  <c r="C72" i="4" s="1"/>
  <c r="C63" i="4"/>
  <c r="B61" i="4"/>
  <c r="C65" i="4" s="1"/>
  <c r="C67" i="4" s="1"/>
  <c r="C58" i="4"/>
  <c r="C57" i="4"/>
  <c r="C56" i="4"/>
  <c r="C55" i="4"/>
  <c r="B58" i="4"/>
  <c r="B54" i="4"/>
  <c r="C49" i="4"/>
  <c r="C48" i="4"/>
  <c r="C47" i="4"/>
  <c r="B49" i="4"/>
  <c r="B44" i="4"/>
  <c r="B46" i="4"/>
  <c r="C40" i="4"/>
  <c r="C39" i="4"/>
  <c r="C38" i="4"/>
  <c r="C37" i="4"/>
  <c r="C36" i="4"/>
  <c r="B35" i="4"/>
  <c r="C28" i="4"/>
  <c r="C27" i="4"/>
  <c r="C20" i="4"/>
  <c r="B19" i="4"/>
  <c r="C11" i="4"/>
  <c r="C10" i="4"/>
  <c r="C9" i="4"/>
  <c r="C8" i="4"/>
  <c r="B5" i="4"/>
  <c r="F109" i="6" l="1"/>
  <c r="F113" i="6"/>
  <c r="F94" i="6"/>
  <c r="F99" i="6"/>
  <c r="F112" i="6"/>
  <c r="F110" i="6"/>
  <c r="F111" i="6"/>
  <c r="F102" i="6"/>
  <c r="F117" i="6"/>
  <c r="F100" i="6"/>
  <c r="F114" i="6"/>
  <c r="F107" i="6"/>
  <c r="F97" i="6"/>
  <c r="F105" i="6"/>
  <c r="F104" i="6"/>
  <c r="F115" i="6"/>
  <c r="F108" i="6"/>
  <c r="F95" i="6"/>
  <c r="F103" i="6"/>
  <c r="F106" i="6"/>
  <c r="F96" i="6"/>
  <c r="F101" i="6"/>
  <c r="F98" i="6"/>
  <c r="F116" i="6"/>
  <c r="J28" i="10"/>
  <c r="M21" i="10" s="1"/>
  <c r="C28" i="10"/>
  <c r="B51" i="10" s="1"/>
  <c r="E110" i="10" s="1"/>
  <c r="J6" i="10"/>
  <c r="M13" i="10"/>
  <c r="L6" i="10" s="1"/>
  <c r="M21" i="6"/>
  <c r="R29" i="6" s="1"/>
  <c r="F93" i="6"/>
  <c r="C28" i="6"/>
  <c r="B51" i="6" s="1"/>
  <c r="B53" i="6"/>
  <c r="R18" i="6"/>
  <c r="R13" i="6"/>
  <c r="L6" i="6"/>
  <c r="B13" i="4"/>
  <c r="C12" i="4"/>
  <c r="B17" i="4"/>
  <c r="C13" i="4"/>
  <c r="B26" i="4"/>
  <c r="B34" i="4"/>
  <c r="B40" i="4" s="1"/>
  <c r="R24" i="6" l="1"/>
  <c r="U36" i="6" s="1"/>
  <c r="E111" i="6"/>
  <c r="E96" i="6"/>
  <c r="E101" i="6"/>
  <c r="E106" i="6"/>
  <c r="E116" i="6"/>
  <c r="E117" i="6"/>
  <c r="E112" i="6"/>
  <c r="E104" i="6"/>
  <c r="E109" i="6"/>
  <c r="E102" i="6"/>
  <c r="E99" i="6"/>
  <c r="E100" i="6"/>
  <c r="E113" i="6"/>
  <c r="E115" i="6"/>
  <c r="E94" i="6"/>
  <c r="E110" i="6"/>
  <c r="E103" i="6"/>
  <c r="E105" i="6"/>
  <c r="E95" i="6"/>
  <c r="E98" i="6"/>
  <c r="E108" i="6"/>
  <c r="E107" i="6"/>
  <c r="E114" i="6"/>
  <c r="E97" i="6"/>
  <c r="G99" i="6"/>
  <c r="G105" i="6"/>
  <c r="G108" i="6"/>
  <c r="G97" i="6"/>
  <c r="G114" i="6"/>
  <c r="G110" i="6"/>
  <c r="G98" i="6"/>
  <c r="G102" i="6"/>
  <c r="G94" i="6"/>
  <c r="G109" i="6"/>
  <c r="G117" i="6"/>
  <c r="G106" i="6"/>
  <c r="G104" i="6"/>
  <c r="G116" i="6"/>
  <c r="G96" i="6"/>
  <c r="G107" i="6"/>
  <c r="G112" i="6"/>
  <c r="G111" i="6"/>
  <c r="G100" i="6"/>
  <c r="G113" i="6"/>
  <c r="G103" i="6"/>
  <c r="G95" i="6"/>
  <c r="G101" i="6"/>
  <c r="G115" i="6"/>
  <c r="E98" i="10"/>
  <c r="E108" i="10"/>
  <c r="E104" i="10"/>
  <c r="E107" i="10"/>
  <c r="E117" i="10"/>
  <c r="E100" i="10"/>
  <c r="E103" i="10"/>
  <c r="E113" i="10"/>
  <c r="E99" i="10"/>
  <c r="E101" i="10"/>
  <c r="E111" i="10"/>
  <c r="E97" i="10"/>
  <c r="E109" i="10"/>
  <c r="E102" i="10"/>
  <c r="E112" i="10"/>
  <c r="E94" i="10"/>
  <c r="E95" i="10"/>
  <c r="E105" i="10"/>
  <c r="E115" i="10"/>
  <c r="E114" i="10"/>
  <c r="E96" i="10"/>
  <c r="E106" i="10"/>
  <c r="E116" i="10"/>
  <c r="R24" i="10"/>
  <c r="R29" i="10"/>
  <c r="R18" i="10"/>
  <c r="R13" i="10"/>
  <c r="P6" i="10"/>
  <c r="E93" i="10"/>
  <c r="O33" i="6"/>
  <c r="B55" i="6" s="1"/>
  <c r="B56" i="6"/>
  <c r="G93" i="6"/>
  <c r="E93" i="6"/>
  <c r="X18" i="6"/>
  <c r="X22" i="6"/>
  <c r="AD13" i="6" s="1"/>
  <c r="U6" i="6"/>
  <c r="B47" i="6" s="1"/>
  <c r="P6" i="6"/>
  <c r="B54" i="6" s="1"/>
  <c r="AJ41" i="6"/>
  <c r="Y36" i="6" s="1"/>
  <c r="W36" i="6"/>
  <c r="AJ37" i="6"/>
  <c r="R36" i="6"/>
  <c r="B30" i="4"/>
  <c r="C29" i="4"/>
  <c r="C30" i="4" s="1"/>
  <c r="C21" i="4"/>
  <c r="C22" i="4" s="1"/>
  <c r="B22" i="4"/>
  <c r="J106" i="6" l="1"/>
  <c r="J108" i="6"/>
  <c r="J110" i="6"/>
  <c r="J112" i="6"/>
  <c r="J107" i="6"/>
  <c r="J115" i="6"/>
  <c r="J104" i="6"/>
  <c r="J116" i="6"/>
  <c r="J99" i="6"/>
  <c r="J117" i="6"/>
  <c r="J94" i="6"/>
  <c r="J103" i="6"/>
  <c r="J114" i="6"/>
  <c r="J113" i="6"/>
  <c r="J100" i="6"/>
  <c r="J101" i="6"/>
  <c r="J111" i="6"/>
  <c r="J98" i="6"/>
  <c r="J105" i="6"/>
  <c r="J109" i="6"/>
  <c r="J102" i="6"/>
  <c r="J96" i="6"/>
  <c r="J97" i="6"/>
  <c r="J95" i="6"/>
  <c r="I100" i="6"/>
  <c r="I98" i="6"/>
  <c r="I110" i="6"/>
  <c r="I94" i="6"/>
  <c r="I106" i="6"/>
  <c r="I115" i="6"/>
  <c r="I111" i="6"/>
  <c r="I112" i="6"/>
  <c r="I99" i="6"/>
  <c r="I108" i="6"/>
  <c r="I114" i="6"/>
  <c r="I103" i="6"/>
  <c r="I109" i="6"/>
  <c r="I95" i="6"/>
  <c r="I97" i="6"/>
  <c r="I113" i="6"/>
  <c r="I105" i="6"/>
  <c r="I116" i="6"/>
  <c r="I96" i="6"/>
  <c r="I104" i="6"/>
  <c r="I102" i="6"/>
  <c r="I107" i="6"/>
  <c r="I117" i="6"/>
  <c r="I101" i="6"/>
  <c r="H94" i="6"/>
  <c r="H108" i="6"/>
  <c r="H100" i="6"/>
  <c r="H98" i="6"/>
  <c r="H102" i="6"/>
  <c r="H111" i="6"/>
  <c r="H110" i="6"/>
  <c r="H99" i="6"/>
  <c r="H95" i="6"/>
  <c r="H112" i="6"/>
  <c r="H96" i="6"/>
  <c r="H116" i="6"/>
  <c r="H117" i="6"/>
  <c r="H107" i="6"/>
  <c r="H97" i="6"/>
  <c r="H106" i="6"/>
  <c r="H115" i="6"/>
  <c r="H101" i="6"/>
  <c r="H109" i="6"/>
  <c r="H114" i="6"/>
  <c r="H105" i="6"/>
  <c r="H113" i="6"/>
  <c r="H103" i="6"/>
  <c r="H104" i="6"/>
  <c r="C94" i="6"/>
  <c r="C104" i="6"/>
  <c r="C114" i="6"/>
  <c r="C116" i="6"/>
  <c r="C117" i="6"/>
  <c r="C108" i="6"/>
  <c r="C95" i="6"/>
  <c r="C105" i="6"/>
  <c r="C115" i="6"/>
  <c r="C106" i="6"/>
  <c r="C107" i="6"/>
  <c r="C93" i="6"/>
  <c r="C111" i="6"/>
  <c r="C96" i="6"/>
  <c r="C97" i="6"/>
  <c r="C110" i="6"/>
  <c r="C98" i="6"/>
  <c r="C99" i="6"/>
  <c r="C109" i="6"/>
  <c r="C112" i="6"/>
  <c r="C100" i="6"/>
  <c r="C101" i="6"/>
  <c r="C102" i="6"/>
  <c r="C103" i="6"/>
  <c r="C113" i="6"/>
  <c r="J93" i="6"/>
  <c r="W36" i="10"/>
  <c r="AJ41" i="10"/>
  <c r="B56" i="10" s="1"/>
  <c r="X18" i="10"/>
  <c r="B54" i="10"/>
  <c r="X22" i="10"/>
  <c r="AD13" i="10" s="1"/>
  <c r="U6" i="10"/>
  <c r="O33" i="10"/>
  <c r="B55" i="10"/>
  <c r="U36" i="10"/>
  <c r="AJ37" i="10"/>
  <c r="R36" i="10" s="1"/>
  <c r="I93" i="6"/>
  <c r="H93" i="6"/>
  <c r="AJ13" i="6"/>
  <c r="AG29" i="6" s="1"/>
  <c r="AG6" i="6"/>
  <c r="W6" i="6"/>
  <c r="AJ18" i="6"/>
  <c r="B36" i="6" s="1"/>
  <c r="AE6" i="6"/>
  <c r="AA6" i="6"/>
  <c r="B19" i="13" s="1"/>
  <c r="AC29" i="6"/>
  <c r="B37" i="8" l="1"/>
  <c r="B20" i="13"/>
  <c r="AG6" i="10"/>
  <c r="AJ13" i="10"/>
  <c r="AG29" i="10"/>
  <c r="AA6" i="10"/>
  <c r="AC29" i="10"/>
  <c r="AE6" i="10"/>
  <c r="AJ18" i="10"/>
  <c r="B36" i="10" s="1"/>
  <c r="Y36" i="10"/>
  <c r="W6" i="10"/>
  <c r="B47" i="10"/>
  <c r="B58" i="6"/>
  <c r="AE33" i="6"/>
  <c r="B36" i="8"/>
  <c r="L93" i="6"/>
  <c r="AN7" i="6"/>
  <c r="B21" i="13" s="1"/>
  <c r="C21" i="13" s="1"/>
  <c r="AL7" i="6"/>
  <c r="B46" i="6" s="1"/>
  <c r="AM19" i="6"/>
  <c r="B57" i="6" s="1"/>
  <c r="AP13" i="6"/>
  <c r="M106" i="6" l="1"/>
  <c r="M115" i="6"/>
  <c r="M103" i="6"/>
  <c r="M113" i="6"/>
  <c r="M116" i="6"/>
  <c r="M97" i="6"/>
  <c r="M107" i="6"/>
  <c r="M104" i="6"/>
  <c r="M114" i="6"/>
  <c r="M94" i="6"/>
  <c r="M95" i="6"/>
  <c r="M108" i="6"/>
  <c r="M100" i="6"/>
  <c r="M98" i="6"/>
  <c r="M117" i="6"/>
  <c r="M93" i="6"/>
  <c r="M111" i="6"/>
  <c r="M101" i="6"/>
  <c r="M99" i="6"/>
  <c r="M112" i="6"/>
  <c r="M102" i="6"/>
  <c r="M110" i="6"/>
  <c r="M109" i="6"/>
  <c r="M96" i="6"/>
  <c r="M105" i="6"/>
  <c r="C19" i="13"/>
  <c r="K104" i="6"/>
  <c r="K115" i="6"/>
  <c r="K117" i="6"/>
  <c r="K95" i="6"/>
  <c r="K105" i="6"/>
  <c r="K97" i="6"/>
  <c r="K100" i="6"/>
  <c r="K107" i="6"/>
  <c r="K99" i="6"/>
  <c r="K109" i="6"/>
  <c r="K116" i="6"/>
  <c r="K106" i="6"/>
  <c r="K96" i="6"/>
  <c r="K114" i="6"/>
  <c r="K111" i="6"/>
  <c r="K112" i="6"/>
  <c r="K102" i="6"/>
  <c r="K108" i="6"/>
  <c r="K101" i="6"/>
  <c r="K110" i="6"/>
  <c r="K113" i="6"/>
  <c r="K94" i="6"/>
  <c r="K103" i="6"/>
  <c r="K98" i="6"/>
  <c r="C20" i="13"/>
  <c r="L96" i="6"/>
  <c r="L100" i="6"/>
  <c r="L98" i="6"/>
  <c r="L113" i="6"/>
  <c r="L116" i="6"/>
  <c r="L95" i="6"/>
  <c r="L101" i="6"/>
  <c r="L110" i="6"/>
  <c r="L97" i="6"/>
  <c r="L99" i="6"/>
  <c r="L103" i="6"/>
  <c r="L109" i="6"/>
  <c r="L117" i="6"/>
  <c r="L114" i="6"/>
  <c r="L107" i="6"/>
  <c r="L115" i="6"/>
  <c r="L106" i="6"/>
  <c r="L94" i="6"/>
  <c r="L102" i="6"/>
  <c r="L111" i="6"/>
  <c r="L104" i="6"/>
  <c r="L108" i="6"/>
  <c r="L105" i="6"/>
  <c r="L112" i="6"/>
  <c r="C97" i="10"/>
  <c r="C107" i="10"/>
  <c r="C117" i="10"/>
  <c r="C109" i="10"/>
  <c r="C110" i="10"/>
  <c r="C98" i="10"/>
  <c r="C108" i="10"/>
  <c r="C93" i="10"/>
  <c r="C99" i="10"/>
  <c r="C100" i="10"/>
  <c r="C101" i="10"/>
  <c r="C111" i="10"/>
  <c r="C102" i="10"/>
  <c r="C112" i="10"/>
  <c r="C103" i="10"/>
  <c r="C113" i="10"/>
  <c r="C105" i="10"/>
  <c r="C94" i="10"/>
  <c r="C104" i="10"/>
  <c r="C114" i="10"/>
  <c r="C115" i="10"/>
  <c r="C95" i="10"/>
  <c r="C96" i="10"/>
  <c r="C106" i="10"/>
  <c r="C116" i="10"/>
  <c r="B58" i="10"/>
  <c r="AN26" i="6"/>
  <c r="H93" i="10"/>
  <c r="AE33" i="10"/>
  <c r="AM19" i="10"/>
  <c r="B57" i="10" s="1"/>
  <c r="AN7" i="10"/>
  <c r="B49" i="10" s="1"/>
  <c r="AL7" i="10"/>
  <c r="B46" i="10" s="1"/>
  <c r="AP13" i="10"/>
  <c r="B38" i="8"/>
  <c r="C38" i="8" s="1"/>
  <c r="B49" i="6"/>
  <c r="C36" i="8"/>
  <c r="K93" i="6"/>
  <c r="C37" i="8"/>
  <c r="D97" i="6" l="1"/>
  <c r="D110" i="6"/>
  <c r="D107" i="6"/>
  <c r="D108" i="6"/>
  <c r="D98" i="6"/>
  <c r="D99" i="6"/>
  <c r="D105" i="6"/>
  <c r="D109" i="6"/>
  <c r="D100" i="6"/>
  <c r="D117" i="6"/>
  <c r="D115" i="6"/>
  <c r="D95" i="6"/>
  <c r="D116" i="6"/>
  <c r="D106" i="6"/>
  <c r="D103" i="6"/>
  <c r="D113" i="6"/>
  <c r="D96" i="6"/>
  <c r="D104" i="6"/>
  <c r="D112" i="6"/>
  <c r="D114" i="6"/>
  <c r="D111" i="6"/>
  <c r="D102" i="6"/>
  <c r="D94" i="6"/>
  <c r="D101" i="6"/>
  <c r="D174" i="10"/>
  <c r="F29" i="5" s="1"/>
  <c r="D168" i="10"/>
  <c r="F23" i="5" s="1"/>
  <c r="D170" i="10"/>
  <c r="F25" i="5" s="1"/>
  <c r="H115" i="10"/>
  <c r="H103" i="10"/>
  <c r="D101" i="10"/>
  <c r="D111" i="10"/>
  <c r="D169" i="10" s="1"/>
  <c r="F24" i="5" s="1"/>
  <c r="D103" i="10"/>
  <c r="D161" i="10" s="1"/>
  <c r="F16" i="5" s="1"/>
  <c r="D113" i="10"/>
  <c r="D171" i="10" s="1"/>
  <c r="F26" i="5" s="1"/>
  <c r="F39" i="5" s="1"/>
  <c r="D94" i="10"/>
  <c r="D152" i="10" s="1"/>
  <c r="F7" i="5" s="1"/>
  <c r="F35" i="5" s="1"/>
  <c r="D114" i="10"/>
  <c r="D172" i="10" s="1"/>
  <c r="F27" i="5" s="1"/>
  <c r="D115" i="10"/>
  <c r="D102" i="10"/>
  <c r="D112" i="10"/>
  <c r="D104" i="10"/>
  <c r="D162" i="10" s="1"/>
  <c r="F17" i="5" s="1"/>
  <c r="D95" i="10"/>
  <c r="D153" i="10" s="1"/>
  <c r="F8" i="5" s="1"/>
  <c r="D105" i="10"/>
  <c r="D99" i="10"/>
  <c r="D157" i="10" s="1"/>
  <c r="F12" i="5" s="1"/>
  <c r="D109" i="10"/>
  <c r="D96" i="10"/>
  <c r="D154" i="10" s="1"/>
  <c r="F9" i="5" s="1"/>
  <c r="D106" i="10"/>
  <c r="D164" i="10" s="1"/>
  <c r="F19" i="5" s="1"/>
  <c r="D116" i="10"/>
  <c r="D97" i="10"/>
  <c r="D107" i="10"/>
  <c r="D165" i="10" s="1"/>
  <c r="F20" i="5" s="1"/>
  <c r="D93" i="10"/>
  <c r="D151" i="10" s="1"/>
  <c r="F6" i="5" s="1"/>
  <c r="F34" i="5" s="1"/>
  <c r="D98" i="10"/>
  <c r="D156" i="10" s="1"/>
  <c r="F11" i="5" s="1"/>
  <c r="F36" i="5" s="1"/>
  <c r="D108" i="10"/>
  <c r="D166" i="10" s="1"/>
  <c r="F21" i="5" s="1"/>
  <c r="F38" i="5" s="1"/>
  <c r="D100" i="10"/>
  <c r="D158" i="10" s="1"/>
  <c r="F13" i="5" s="1"/>
  <c r="D110" i="10"/>
  <c r="I96" i="10"/>
  <c r="I106" i="10"/>
  <c r="I116" i="10"/>
  <c r="I102" i="10"/>
  <c r="I112" i="10"/>
  <c r="I95" i="10"/>
  <c r="I115" i="10"/>
  <c r="I98" i="10"/>
  <c r="I94" i="10"/>
  <c r="I99" i="10"/>
  <c r="I109" i="10"/>
  <c r="D167" i="10" s="1"/>
  <c r="F22" i="5" s="1"/>
  <c r="I105" i="10"/>
  <c r="D163" i="10" s="1"/>
  <c r="F18" i="5" s="1"/>
  <c r="F37" i="5" s="1"/>
  <c r="I114" i="10"/>
  <c r="I97" i="10"/>
  <c r="I107" i="10"/>
  <c r="I117" i="10"/>
  <c r="I100" i="10"/>
  <c r="I110" i="10"/>
  <c r="I103" i="10"/>
  <c r="I113" i="10"/>
  <c r="I108" i="10"/>
  <c r="I101" i="10"/>
  <c r="I111" i="10"/>
  <c r="I104" i="10"/>
  <c r="I93" i="10"/>
  <c r="D117" i="10"/>
  <c r="D175" i="10" s="1"/>
  <c r="F30" i="5" s="1"/>
  <c r="F41" i="5" s="1"/>
  <c r="G102" i="10"/>
  <c r="D160" i="10" s="1"/>
  <c r="F15" i="5" s="1"/>
  <c r="G112" i="10"/>
  <c r="G98" i="10"/>
  <c r="G108" i="10"/>
  <c r="G101" i="10"/>
  <c r="D159" i="10" s="1"/>
  <c r="F14" i="5" s="1"/>
  <c r="G111" i="10"/>
  <c r="G104" i="10"/>
  <c r="G107" i="10"/>
  <c r="G96" i="10"/>
  <c r="G95" i="10"/>
  <c r="G105" i="10"/>
  <c r="G115" i="10"/>
  <c r="D173" i="10" s="1"/>
  <c r="F28" i="5" s="1"/>
  <c r="F40" i="5" s="1"/>
  <c r="G110" i="10"/>
  <c r="G103" i="10"/>
  <c r="G113" i="10"/>
  <c r="G106" i="10"/>
  <c r="G116" i="10"/>
  <c r="G94" i="10"/>
  <c r="G100" i="10"/>
  <c r="G99" i="10"/>
  <c r="G109" i="10"/>
  <c r="G114" i="10"/>
  <c r="G97" i="10"/>
  <c r="D155" i="10" s="1"/>
  <c r="F10" i="5" s="1"/>
  <c r="G117" i="10"/>
  <c r="H99" i="10"/>
  <c r="H109" i="10"/>
  <c r="H95" i="10"/>
  <c r="H105" i="10"/>
  <c r="H101" i="10"/>
  <c r="H94" i="10"/>
  <c r="H102" i="10"/>
  <c r="H112" i="10"/>
  <c r="H108" i="10"/>
  <c r="H97" i="10"/>
  <c r="H117" i="10"/>
  <c r="H110" i="10"/>
  <c r="H100" i="10"/>
  <c r="H96" i="10"/>
  <c r="H106" i="10"/>
  <c r="H116" i="10"/>
  <c r="H98" i="10"/>
  <c r="H111" i="10"/>
  <c r="H104" i="10"/>
  <c r="H114" i="10"/>
  <c r="H107" i="10"/>
  <c r="H113" i="10"/>
  <c r="G93" i="10"/>
  <c r="D93" i="6"/>
  <c r="D25" i="8" l="1"/>
  <c r="D13" i="8"/>
  <c r="D17" i="8"/>
  <c r="D22" i="8"/>
  <c r="D9" i="8"/>
  <c r="D18" i="8"/>
  <c r="D9" i="13"/>
  <c r="D26" i="8"/>
  <c r="D11" i="13"/>
  <c r="D12" i="8"/>
  <c r="D16" i="8"/>
  <c r="D8" i="13"/>
  <c r="D11" i="8"/>
  <c r="D14" i="8"/>
  <c r="H19" i="8"/>
  <c r="D19" i="8"/>
  <c r="H21" i="8"/>
  <c r="D21" i="8"/>
  <c r="D10" i="13"/>
  <c r="D7" i="13"/>
  <c r="D7" i="8"/>
  <c r="D29" i="8"/>
  <c r="D6" i="13"/>
  <c r="D6" i="8"/>
  <c r="H15" i="8"/>
  <c r="D15" i="8"/>
  <c r="H8" i="8"/>
  <c r="D8" i="8"/>
  <c r="D23" i="8"/>
  <c r="D24" i="8"/>
  <c r="D12" i="13"/>
  <c r="D28" i="8"/>
  <c r="H20" i="8"/>
  <c r="D20" i="8"/>
  <c r="H27" i="8"/>
  <c r="D27" i="8"/>
  <c r="H30" i="8"/>
  <c r="D30" i="8"/>
  <c r="D13" i="13"/>
  <c r="D10" i="8"/>
  <c r="E9" i="5" l="1"/>
  <c r="J9" i="8"/>
  <c r="I9" i="8"/>
  <c r="K9" i="8"/>
  <c r="M9" i="8"/>
  <c r="L9" i="8"/>
  <c r="N9" i="8"/>
  <c r="G9" i="8"/>
  <c r="Q9" i="8"/>
  <c r="P9" i="8"/>
  <c r="O9" i="8"/>
  <c r="E16" i="5"/>
  <c r="J16" i="8"/>
  <c r="I16" i="8"/>
  <c r="K16" i="8"/>
  <c r="N16" i="8"/>
  <c r="G16" i="8"/>
  <c r="L16" i="8"/>
  <c r="M16" i="8"/>
  <c r="Q16" i="8"/>
  <c r="O16" i="8"/>
  <c r="P16" i="8"/>
  <c r="E20" i="5"/>
  <c r="J20" i="8"/>
  <c r="I20" i="8"/>
  <c r="K20" i="8"/>
  <c r="L20" i="8"/>
  <c r="M20" i="8"/>
  <c r="G20" i="8"/>
  <c r="N20" i="8"/>
  <c r="Q20" i="8"/>
  <c r="O20" i="8"/>
  <c r="P20" i="8"/>
  <c r="E15" i="5"/>
  <c r="J15" i="8"/>
  <c r="I15" i="8"/>
  <c r="K15" i="8"/>
  <c r="L15" i="8"/>
  <c r="N15" i="8"/>
  <c r="G15" i="8"/>
  <c r="R15" i="8" s="1"/>
  <c r="M15" i="8"/>
  <c r="Q15" i="8"/>
  <c r="O15" i="8"/>
  <c r="P15" i="8"/>
  <c r="E21" i="5"/>
  <c r="E38" i="5" s="1"/>
  <c r="J21" i="8"/>
  <c r="K21" i="8"/>
  <c r="I21" i="8"/>
  <c r="L21" i="8"/>
  <c r="G21" i="8"/>
  <c r="R21" i="8" s="1"/>
  <c r="M21" i="8"/>
  <c r="N21" i="8"/>
  <c r="O21" i="8"/>
  <c r="P21" i="8"/>
  <c r="Q21" i="8"/>
  <c r="H16" i="8"/>
  <c r="H9" i="8"/>
  <c r="E22" i="5"/>
  <c r="J22" i="8"/>
  <c r="K22" i="8"/>
  <c r="I22" i="8"/>
  <c r="L22" i="8"/>
  <c r="M22" i="8"/>
  <c r="N22" i="8"/>
  <c r="G22" i="8"/>
  <c r="Q22" i="8"/>
  <c r="P22" i="8"/>
  <c r="O22" i="8"/>
  <c r="E12" i="5"/>
  <c r="J12" i="8"/>
  <c r="I12" i="8"/>
  <c r="K12" i="8"/>
  <c r="L12" i="8"/>
  <c r="G12" i="8"/>
  <c r="M12" i="8"/>
  <c r="N12" i="8"/>
  <c r="Q12" i="8"/>
  <c r="O12" i="8"/>
  <c r="P12" i="8"/>
  <c r="H28" i="8"/>
  <c r="E28" i="5"/>
  <c r="E40" i="5" s="1"/>
  <c r="J28" i="8"/>
  <c r="I28" i="8"/>
  <c r="K28" i="8"/>
  <c r="M28" i="8"/>
  <c r="L28" i="8"/>
  <c r="G28" i="8"/>
  <c r="N28" i="8"/>
  <c r="P28" i="8"/>
  <c r="O28" i="8"/>
  <c r="Q28" i="8"/>
  <c r="H6" i="8"/>
  <c r="E6" i="5"/>
  <c r="E34" i="5" s="1"/>
  <c r="G6" i="8"/>
  <c r="E19" i="5"/>
  <c r="J19" i="8"/>
  <c r="I19" i="8"/>
  <c r="K19" i="8"/>
  <c r="M19" i="8"/>
  <c r="L19" i="8"/>
  <c r="N19" i="8"/>
  <c r="G19" i="8"/>
  <c r="O19" i="8"/>
  <c r="Q19" i="8"/>
  <c r="P19" i="8"/>
  <c r="H12" i="8"/>
  <c r="H22" i="8"/>
  <c r="E17" i="5"/>
  <c r="J17" i="8"/>
  <c r="I17" i="8"/>
  <c r="K17" i="8"/>
  <c r="L17" i="8"/>
  <c r="N17" i="8"/>
  <c r="M17" i="8"/>
  <c r="G17" i="8"/>
  <c r="Q17" i="8"/>
  <c r="P17" i="8"/>
  <c r="O17" i="8"/>
  <c r="E10" i="5"/>
  <c r="J10" i="8"/>
  <c r="K10" i="8"/>
  <c r="I10" i="8"/>
  <c r="M10" i="8"/>
  <c r="G10" i="8"/>
  <c r="N10" i="8"/>
  <c r="L10" i="8"/>
  <c r="P10" i="8"/>
  <c r="O10" i="8"/>
  <c r="Q10" i="8"/>
  <c r="H10" i="8"/>
  <c r="E24" i="5"/>
  <c r="J24" i="8"/>
  <c r="K24" i="8"/>
  <c r="I24" i="8"/>
  <c r="G24" i="8"/>
  <c r="N24" i="8"/>
  <c r="M24" i="8"/>
  <c r="L24" i="8"/>
  <c r="Q24" i="8"/>
  <c r="O24" i="8"/>
  <c r="P24" i="8"/>
  <c r="E29" i="5"/>
  <c r="J29" i="8"/>
  <c r="K29" i="8"/>
  <c r="I29" i="8"/>
  <c r="M29" i="8"/>
  <c r="N29" i="8"/>
  <c r="G29" i="8"/>
  <c r="L29" i="8"/>
  <c r="O29" i="8"/>
  <c r="P29" i="8"/>
  <c r="Q29" i="8"/>
  <c r="E26" i="5"/>
  <c r="E39" i="5" s="1"/>
  <c r="J26" i="8"/>
  <c r="I26" i="8"/>
  <c r="K26" i="8"/>
  <c r="N26" i="8"/>
  <c r="G26" i="8"/>
  <c r="M26" i="8"/>
  <c r="L26" i="8"/>
  <c r="O26" i="8"/>
  <c r="Q26" i="8"/>
  <c r="P26" i="8"/>
  <c r="H17" i="8"/>
  <c r="E13" i="5"/>
  <c r="J13" i="8"/>
  <c r="I13" i="8"/>
  <c r="K13" i="8"/>
  <c r="M13" i="8"/>
  <c r="N13" i="8"/>
  <c r="G13" i="8"/>
  <c r="L13" i="8"/>
  <c r="Q13" i="8"/>
  <c r="P13" i="8"/>
  <c r="O13" i="8"/>
  <c r="E11" i="5"/>
  <c r="E36" i="5" s="1"/>
  <c r="J11" i="8"/>
  <c r="I11" i="8"/>
  <c r="K11" i="8"/>
  <c r="G11" i="8"/>
  <c r="R11" i="8" s="1"/>
  <c r="N11" i="8"/>
  <c r="L11" i="8"/>
  <c r="M11" i="8"/>
  <c r="O11" i="8"/>
  <c r="P11" i="8"/>
  <c r="Q11" i="8"/>
  <c r="H13" i="8"/>
  <c r="E18" i="5"/>
  <c r="E37" i="5" s="1"/>
  <c r="J18" i="8"/>
  <c r="I18" i="8"/>
  <c r="K18" i="8"/>
  <c r="G18" i="8"/>
  <c r="L18" i="8"/>
  <c r="M18" i="8"/>
  <c r="N18" i="8"/>
  <c r="O18" i="8"/>
  <c r="Q18" i="8"/>
  <c r="P18" i="8"/>
  <c r="E25" i="5"/>
  <c r="J25" i="8"/>
  <c r="K25" i="8"/>
  <c r="I25" i="8"/>
  <c r="M25" i="8"/>
  <c r="L25" i="8"/>
  <c r="G25" i="8"/>
  <c r="N25" i="8"/>
  <c r="O25" i="8"/>
  <c r="P25" i="8"/>
  <c r="Q25" i="8"/>
  <c r="E14" i="5"/>
  <c r="J14" i="8"/>
  <c r="I14" i="8"/>
  <c r="K14" i="8"/>
  <c r="M14" i="8"/>
  <c r="N14" i="8"/>
  <c r="L14" i="8"/>
  <c r="G14" i="8"/>
  <c r="P14" i="8"/>
  <c r="Q14" i="8"/>
  <c r="O14" i="8"/>
  <c r="H24" i="8"/>
  <c r="H29" i="8"/>
  <c r="H14" i="8"/>
  <c r="H26" i="8"/>
  <c r="E30" i="5"/>
  <c r="E41" i="5" s="1"/>
  <c r="J30" i="8"/>
  <c r="K30" i="8"/>
  <c r="I30" i="8"/>
  <c r="M30" i="8"/>
  <c r="G30" i="8"/>
  <c r="R30" i="8" s="1"/>
  <c r="N30" i="8"/>
  <c r="L30" i="8"/>
  <c r="Q30" i="8"/>
  <c r="O30" i="8"/>
  <c r="P30" i="8"/>
  <c r="E23" i="5"/>
  <c r="J23" i="8"/>
  <c r="I23" i="8"/>
  <c r="K23" i="8"/>
  <c r="N23" i="8"/>
  <c r="L23" i="8"/>
  <c r="M23" i="8"/>
  <c r="G23" i="8"/>
  <c r="Q23" i="8"/>
  <c r="P23" i="8"/>
  <c r="O23" i="8"/>
  <c r="E7" i="5"/>
  <c r="E35" i="5" s="1"/>
  <c r="J7" i="8"/>
  <c r="K7" i="8"/>
  <c r="I7" i="8"/>
  <c r="G7" i="8"/>
  <c r="M7" i="8"/>
  <c r="N7" i="8"/>
  <c r="L7" i="8"/>
  <c r="O7" i="8"/>
  <c r="P7" i="8"/>
  <c r="Q7" i="8"/>
  <c r="H23" i="8"/>
  <c r="E27" i="5"/>
  <c r="J27" i="8"/>
  <c r="K27" i="8"/>
  <c r="I27" i="8"/>
  <c r="L27" i="8"/>
  <c r="G27" i="8"/>
  <c r="N27" i="8"/>
  <c r="M27" i="8"/>
  <c r="O27" i="8"/>
  <c r="Q27" i="8"/>
  <c r="P27" i="8"/>
  <c r="E8" i="5"/>
  <c r="J8" i="8"/>
  <c r="K8" i="8"/>
  <c r="I8" i="8"/>
  <c r="M8" i="8"/>
  <c r="L8" i="8"/>
  <c r="N8" i="8"/>
  <c r="G8" i="8"/>
  <c r="O8" i="8"/>
  <c r="Q8" i="8"/>
  <c r="P8" i="8"/>
  <c r="H7" i="8"/>
  <c r="H11" i="8"/>
  <c r="H18" i="8"/>
  <c r="H25" i="8"/>
  <c r="N6" i="8"/>
  <c r="J6" i="8"/>
  <c r="P6" i="8"/>
  <c r="I6" i="8"/>
  <c r="K6" i="8"/>
  <c r="L6" i="8"/>
  <c r="M6" i="8"/>
  <c r="O6" i="8"/>
  <c r="Q6" i="8"/>
  <c r="R20" i="8" l="1"/>
  <c r="R26" i="8"/>
  <c r="R29" i="8"/>
  <c r="R9" i="8"/>
  <c r="R14" i="8"/>
  <c r="R28" i="8"/>
  <c r="R16" i="8"/>
  <c r="R25" i="8"/>
  <c r="R24" i="8"/>
  <c r="R17" i="8"/>
  <c r="R22" i="8"/>
  <c r="R8" i="8"/>
  <c r="R27" i="8"/>
  <c r="R10" i="8"/>
  <c r="R6" i="8"/>
  <c r="R12" i="8"/>
  <c r="R23" i="8"/>
  <c r="R18" i="8"/>
  <c r="R19" i="8"/>
  <c r="R7" i="8"/>
  <c r="R13" i="8"/>
</calcChain>
</file>

<file path=xl/sharedStrings.xml><?xml version="1.0" encoding="utf-8"?>
<sst xmlns="http://schemas.openxmlformats.org/spreadsheetml/2006/main" count="956" uniqueCount="219">
  <si>
    <t>Only accounts for the cathode recovery process</t>
  </si>
  <si>
    <t>Product system and intermediate flows</t>
  </si>
  <si>
    <t>De-ionised water (kg)</t>
  </si>
  <si>
    <t>Transfer loss (kg)</t>
  </si>
  <si>
    <t>Water evaporation (kg)</t>
  </si>
  <si>
    <t>Electricity (kWh)</t>
  </si>
  <si>
    <t>Li2CO3 (kg)</t>
  </si>
  <si>
    <t>Wet cathode (kg)</t>
  </si>
  <si>
    <t>Wet black mass (kg)</t>
  </si>
  <si>
    <t>Dry black mass (kg)</t>
  </si>
  <si>
    <t>Re-fired cathode (kg)</t>
  </si>
  <si>
    <t>Battery cell (kg)</t>
  </si>
  <si>
    <t>Wet current collector (kg)</t>
  </si>
  <si>
    <t>Dry Al sheets (kg)</t>
  </si>
  <si>
    <t>100Ah</t>
  </si>
  <si>
    <t>Solid material losses (kg)</t>
  </si>
  <si>
    <t>1.73V</t>
  </si>
  <si>
    <t>13 yrs old</t>
  </si>
  <si>
    <t>Wet anode (kg)</t>
  </si>
  <si>
    <t>Wet Cu sheets (kg)</t>
  </si>
  <si>
    <t>Waste
 electrolyte (kg)</t>
  </si>
  <si>
    <t>Case, tops, tags (kg)</t>
  </si>
  <si>
    <t>Wet separator (kg)</t>
  </si>
  <si>
    <t>Wastewater (kg)</t>
  </si>
  <si>
    <t>Waste percentage</t>
  </si>
  <si>
    <t>Dry Cu sheets (kg)</t>
  </si>
  <si>
    <t>Functional unit</t>
  </si>
  <si>
    <t xml:space="preserve">1 treated battery cell or </t>
  </si>
  <si>
    <t>kg</t>
  </si>
  <si>
    <t>Inventory analysis</t>
  </si>
  <si>
    <t>Input/output</t>
  </si>
  <si>
    <t>Amount</t>
  </si>
  <si>
    <t>Ecoinvent 3.9 Process</t>
  </si>
  <si>
    <t>Comments</t>
  </si>
  <si>
    <t>Material inputs</t>
  </si>
  <si>
    <t>lithium_carbonate_production__from_concentrated_brine___lithium_carbonate___Cutoff__S, GLO</t>
  </si>
  <si>
    <t>Deionised water (kg)</t>
  </si>
  <si>
    <t xml:space="preserve">market for water, deionised | water, deionised | Cutoff, S, Europe without Switzerland </t>
  </si>
  <si>
    <t>Energy inputs</t>
  </si>
  <si>
    <t>electricity, medium voltage, residual mix | electricity, medium voltage | Cutoff, S, United Kingdom</t>
  </si>
  <si>
    <t>Waste generation and emissions to environment</t>
  </si>
  <si>
    <t>Electrolyte (kg)</t>
  </si>
  <si>
    <t>treatment of spent solvent mixture, hazardous waste incineration | spent solvent mixture | Cutoff, S, Wurope without Switzerland</t>
  </si>
  <si>
    <t>Separator (kg)</t>
  </si>
  <si>
    <t>market for waste plastic, mixture | waste plastic, mixture | Cutoff, S, GB</t>
  </si>
  <si>
    <t>Case, tops, and tags</t>
  </si>
  <si>
    <t>treatment of waste aluminium, sanitary landfill | waste aluminium | Cutoff, S, RoW</t>
  </si>
  <si>
    <t>Waste Al foil</t>
  </si>
  <si>
    <t>Waste Cu foil</t>
  </si>
  <si>
    <t>Waste graphite</t>
  </si>
  <si>
    <t>treatment of municipal solid waste, sanitary landfill | municipal solid waste | Cutoff, S, RoW</t>
  </si>
  <si>
    <t>Material losses (kg)</t>
  </si>
  <si>
    <t>market for hazardous waste, for incineration | hazardous waste, for incineration | Cutoff, S, Europe without Switzerland</t>
  </si>
  <si>
    <t>Water to air (kg)</t>
  </si>
  <si>
    <t>elementary flow</t>
  </si>
  <si>
    <t>Background data</t>
  </si>
  <si>
    <t>Based on ecoinvent - ReCiPe 2016 v1.03, midpoint (H)</t>
  </si>
  <si>
    <t>Impact category</t>
  </si>
  <si>
    <t>Reference unit</t>
  </si>
  <si>
    <t>Waste solvent</t>
  </si>
  <si>
    <t>Waste plastic</t>
  </si>
  <si>
    <t>Waste aluminium</t>
  </si>
  <si>
    <t>Hazardous waste</t>
  </si>
  <si>
    <t>Water to air (m3)</t>
  </si>
  <si>
    <t>Solid waste (kg)</t>
  </si>
  <si>
    <t>climate change - global warming potential (GWP100)</t>
  </si>
  <si>
    <t>kg CO2-Eq</t>
  </si>
  <si>
    <t>kg P-Eq</t>
  </si>
  <si>
    <t>kg N-Eq</t>
  </si>
  <si>
    <t>kg CFC-11-Eq</t>
  </si>
  <si>
    <t>Impact assessment</t>
  </si>
  <si>
    <t>Deionised water</t>
  </si>
  <si>
    <t>Electricity</t>
  </si>
  <si>
    <t>Waste electrolyte</t>
  </si>
  <si>
    <t>Waste separator</t>
  </si>
  <si>
    <t>Waste casing</t>
  </si>
  <si>
    <t>Material losses</t>
  </si>
  <si>
    <t>Water evaporation</t>
  </si>
  <si>
    <t>Lithium carbonate</t>
  </si>
  <si>
    <t>Background data for allocation</t>
  </si>
  <si>
    <t>Al foil</t>
  </si>
  <si>
    <t>Cu foil</t>
  </si>
  <si>
    <t>Graphite</t>
  </si>
  <si>
    <t>scrap to be recycled, not waste</t>
  </si>
  <si>
    <t>Recovered graphite</t>
  </si>
  <si>
    <t>assumed to be battery-grade</t>
  </si>
  <si>
    <t>Percentage contributions</t>
  </si>
  <si>
    <t>Units</t>
  </si>
  <si>
    <t>Impact per 
kg CAM</t>
  </si>
  <si>
    <t>Contribution analysis</t>
  </si>
  <si>
    <t>Check</t>
  </si>
  <si>
    <t>GWP</t>
  </si>
  <si>
    <t>FETP</t>
  </si>
  <si>
    <t>PMFP</t>
  </si>
  <si>
    <t>Filtering</t>
  </si>
  <si>
    <t>Drying</t>
  </si>
  <si>
    <t>Relithiation</t>
  </si>
  <si>
    <t>Production of LFP active material through various routes</t>
  </si>
  <si>
    <t>Primary LFP production</t>
  </si>
  <si>
    <t>Direct Recycling</t>
  </si>
  <si>
    <t>Hydrothermal process</t>
  </si>
  <si>
    <t>Solid state process</t>
  </si>
  <si>
    <t>CAM recovery</t>
  </si>
  <si>
    <t>Full recovery</t>
  </si>
  <si>
    <t>\</t>
  </si>
  <si>
    <t>Lab-scale data from Dr. Eliabeth Driscoll, gathered on 6th Ferbuary 2024</t>
  </si>
  <si>
    <t>Cell ID</t>
  </si>
  <si>
    <t>CEL1000309LFP100AH201102170012</t>
  </si>
  <si>
    <t>Cell Voltage</t>
  </si>
  <si>
    <t>1.73 V</t>
  </si>
  <si>
    <t>Teardown of cell</t>
  </si>
  <si>
    <t>Description</t>
  </si>
  <si>
    <t>Input</t>
  </si>
  <si>
    <t>Output</t>
  </si>
  <si>
    <t>Unit</t>
  </si>
  <si>
    <t>Battery Cell</t>
  </si>
  <si>
    <t>Manual Man-Powered Saw</t>
  </si>
  <si>
    <t>Waste (electrolyte)?</t>
  </si>
  <si>
    <t>Cathode (with wetness from electrolyte)</t>
  </si>
  <si>
    <t>EHD checked</t>
  </si>
  <si>
    <t>Anode (with wetness from electrolyte)</t>
  </si>
  <si>
    <t>Separator (with wetness from electrolyte)</t>
  </si>
  <si>
    <t>Case + Metal tops, tags</t>
  </si>
  <si>
    <t>Material lost in sawing process (or some electrolyte evaporation)</t>
  </si>
  <si>
    <t>Total</t>
  </si>
  <si>
    <t>Cathode placed in DI water</t>
  </si>
  <si>
    <t>Cathode</t>
  </si>
  <si>
    <t>Deionised Water</t>
  </si>
  <si>
    <t>litres</t>
  </si>
  <si>
    <t>Deionised water (mass value)</t>
  </si>
  <si>
    <t>Wet cathode</t>
  </si>
  <si>
    <t>Transfer Loss</t>
  </si>
  <si>
    <t>Separation of Al and Black Mass from the Cathode Electrode</t>
  </si>
  <si>
    <t>Wet Al current collector with residual black mass</t>
  </si>
  <si>
    <t>Wet black mass</t>
  </si>
  <si>
    <t>Mass difference</t>
  </si>
  <si>
    <t>Second wash of Al foils to remove the black mass</t>
  </si>
  <si>
    <t>Water</t>
  </si>
  <si>
    <t>Wet Al current collector</t>
  </si>
  <si>
    <t>Wet black mass (in water)</t>
  </si>
  <si>
    <t>Black mass lost on transfer (residual in beaker)</t>
  </si>
  <si>
    <t>Evaporation Losses</t>
  </si>
  <si>
    <t>Anode placed in DI water</t>
  </si>
  <si>
    <t>Anode</t>
  </si>
  <si>
    <t>Wet anode</t>
  </si>
  <si>
    <t>Separation of Cu and Black Mass from the Anode Electrode</t>
  </si>
  <si>
    <t>Wet Cu current collector (potential black mass residual on foils)</t>
  </si>
  <si>
    <t>Difference (water evaporation?)</t>
  </si>
  <si>
    <t>Mixture filtered (Cathode)</t>
  </si>
  <si>
    <t>Wet black mass pre-filter in water</t>
  </si>
  <si>
    <t>kWh</t>
  </si>
  <si>
    <t>Water (lost or recycled) - contains black mass</t>
  </si>
  <si>
    <t>Mass Loss</t>
  </si>
  <si>
    <t>Wet black mass (unrecoverable in beaker)</t>
  </si>
  <si>
    <t>Drying (Cathode)</t>
  </si>
  <si>
    <t>Water (lost or recycled)</t>
  </si>
  <si>
    <t>Dry black mass</t>
  </si>
  <si>
    <t>Wet aluminium sheets</t>
  </si>
  <si>
    <t>Dry aluminium sheets</t>
  </si>
  <si>
    <t>Drying (Anode)</t>
  </si>
  <si>
    <t>Wet copper sheets</t>
  </si>
  <si>
    <t>Dry copper sheets</t>
  </si>
  <si>
    <t>Re-lithiation ball milling LiOH</t>
  </si>
  <si>
    <t>Dry black mass (cathode)</t>
  </si>
  <si>
    <t>g</t>
  </si>
  <si>
    <t>LiOH</t>
  </si>
  <si>
    <t>Lost powder coating</t>
  </si>
  <si>
    <t>Lost binder</t>
  </si>
  <si>
    <t>Re-fired cathodic material (LFP)</t>
  </si>
  <si>
    <t>Re-lithiation ball milling Li2CO3</t>
  </si>
  <si>
    <t>Li2CO3</t>
  </si>
  <si>
    <t>Based on ecoinvent - EF3.1</t>
  </si>
  <si>
    <t>acidification - accumulated exceedance (AE)</t>
  </si>
  <si>
    <t>mol H+-Eq</t>
  </si>
  <si>
    <t>climate change: biogenic - global warming potential (GWP100)</t>
  </si>
  <si>
    <t>climate change: fossil - global warming potential (GWP100)</t>
  </si>
  <si>
    <t>climate change: land use and land use change - global warming potential (GWP100)</t>
  </si>
  <si>
    <t>ecotoxicity: freshwater - comparative toxic unit for ecosystems (CTUe)</t>
  </si>
  <si>
    <t>CTUe</t>
  </si>
  <si>
    <t>ecotoxicity: freshwater, inorganics - comparative toxic unit for ecosystems (CTUe)</t>
  </si>
  <si>
    <t>ecotoxicity: freshwater, organics - comparative toxic unit for ecosystems (CTUe)</t>
  </si>
  <si>
    <t>energy resources: non-renewable - abiotic depletion potential (ADP): fossil fuels</t>
  </si>
  <si>
    <t>MJ, net calorific value</t>
  </si>
  <si>
    <t>eutrophication: freshwater - fraction of nutrients reaching freshwater end compartment (P)</t>
  </si>
  <si>
    <t>eutrophication: marine - fraction of nutrients reaching marine end compartment (N)</t>
  </si>
  <si>
    <t>eutrophication: terrestrial - accumulated exceedance (AE)</t>
  </si>
  <si>
    <t>mol N-Eq</t>
  </si>
  <si>
    <t>human toxicity: carcinogenic - comparative toxic unit for human (CTUh)</t>
  </si>
  <si>
    <t>CTUh</t>
  </si>
  <si>
    <t>human toxicity: carcinogenic, inorganics - comparative toxic unit for human (CTUh)</t>
  </si>
  <si>
    <t>human toxicity: carcinogenic, organics - comparative toxic unit for human (CTUh)</t>
  </si>
  <si>
    <t>human toxicity: non-carcinogenic - comparative toxic unit for human (CTUh)</t>
  </si>
  <si>
    <t>human toxicity: non-carcinogenic, inorganics - comparative toxic unit for human (CTUh)</t>
  </si>
  <si>
    <t>human toxicity: non-carcinogenic, organics - comparative toxic unit for human (CTUh)</t>
  </si>
  <si>
    <t>ionising radiation: human health - human exposure efficiency relative to u235</t>
  </si>
  <si>
    <t>kBq U235-Eq</t>
  </si>
  <si>
    <t>land use - soil quality index</t>
  </si>
  <si>
    <t>dimensionless</t>
  </si>
  <si>
    <t>material resources: metals/minerals - abiotic depletion potential (ADP): elements (ultimate reserves)</t>
  </si>
  <si>
    <t>kg Sb-Eq</t>
  </si>
  <si>
    <t>ozone depletion - ozone depletion potential (ODP)</t>
  </si>
  <si>
    <t>particulate matter formation - impact on human health</t>
  </si>
  <si>
    <t>disease incidence</t>
  </si>
  <si>
    <t>photochemical oxidant formation: human health - tropospheric ozone concentration increase</t>
  </si>
  <si>
    <t>kg NMVOC-Eq</t>
  </si>
  <si>
    <t>water use - user deprivation potential (deprivation-weighted water consumption)</t>
  </si>
  <si>
    <t>m3 world eq. deprived</t>
  </si>
  <si>
    <t>Total impact with avoided burden</t>
  </si>
  <si>
    <t>LFP and graphite allocation</t>
  </si>
  <si>
    <t>AP</t>
  </si>
  <si>
    <r>
      <t>HTP</t>
    </r>
    <r>
      <rPr>
        <vertAlign val="subscript"/>
        <sz val="11"/>
        <color rgb="FF000000"/>
        <rFont val="Calibri"/>
        <family val="2"/>
        <scheme val="minor"/>
      </rPr>
      <t>carc.</t>
    </r>
  </si>
  <si>
    <r>
      <t>HTP</t>
    </r>
    <r>
      <rPr>
        <vertAlign val="subscript"/>
        <sz val="11"/>
        <color rgb="FF000000"/>
        <rFont val="Calibri"/>
        <family val="2"/>
        <scheme val="minor"/>
      </rPr>
      <t>non-carc.</t>
    </r>
  </si>
  <si>
    <t>ADP</t>
  </si>
  <si>
    <t>PFMP</t>
  </si>
  <si>
    <t>WUP</t>
  </si>
  <si>
    <t>Primary LFP production:</t>
  </si>
  <si>
    <t>Direct recycling:</t>
  </si>
  <si>
    <t>Based on ecoinvent - EF v3.1</t>
  </si>
  <si>
    <t>Life cycle assessment of direct recycling process for LFP battery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</si>
</sst>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E+00"/>
  </numFmts>
  <fonts count="12" x14ac:knownFonts="1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</borders>
  <cellStyleXfs count="9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3" applyNumberFormat="0" applyAlignment="0" applyProtection="0"/>
    <xf numFmtId="0" fontId="4" fillId="3" borderId="4" applyNumberFormat="0" applyAlignment="0" applyProtection="0"/>
    <xf numFmtId="0" fontId="5" fillId="3" borderId="3" applyNumberFormat="0" applyAlignment="0" applyProtection="0"/>
    <xf numFmtId="0" fontId="6" fillId="0" borderId="0" applyNumberFormat="0" applyFill="0" applyBorder="0" applyAlignment="0" applyProtection="0"/>
    <xf numFmtId="0" fontId="8" fillId="4" borderId="0" applyNumberFormat="0" applyBorder="0" applyAlignment="0" applyProtection="0"/>
    <xf numFmtId="9" fontId="9" fillId="0" borderId="0" applyFont="0" applyFill="0" applyBorder="0" applyAlignment="0" applyProtection="0"/>
  </cellStyleXfs>
  <cellXfs count="50">
    <xf numFmtId="0" fontId="0" fillId="0" borderId="0" xfId="0"/>
    <xf numFmtId="0" fontId="0" fillId="5" borderId="0" xfId="0" applyFill="1"/>
    <xf numFmtId="0" fontId="1" fillId="5" borderId="1" xfId="1" applyFill="1"/>
    <xf numFmtId="0" fontId="6" fillId="5" borderId="0" xfId="6" applyFill="1" applyBorder="1"/>
    <xf numFmtId="0" fontId="2" fillId="5" borderId="2" xfId="2" applyFill="1"/>
    <xf numFmtId="0" fontId="3" fillId="2" borderId="3" xfId="3"/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left" wrapText="1"/>
    </xf>
    <xf numFmtId="2" fontId="0" fillId="5" borderId="0" xfId="0" applyNumberFormat="1" applyFill="1" applyAlignment="1">
      <alignment horizontal="left"/>
    </xf>
    <xf numFmtId="0" fontId="7" fillId="5" borderId="0" xfId="0" applyFont="1" applyFill="1" applyAlignment="1">
      <alignment horizontal="left"/>
    </xf>
    <xf numFmtId="0" fontId="4" fillId="3" borderId="4" xfId="4"/>
    <xf numFmtId="2" fontId="4" fillId="3" borderId="4" xfId="4" applyNumberFormat="1"/>
    <xf numFmtId="0" fontId="4" fillId="5" borderId="0" xfId="4" applyFill="1" applyBorder="1"/>
    <xf numFmtId="0" fontId="6" fillId="5" borderId="0" xfId="6" applyFill="1"/>
    <xf numFmtId="0" fontId="5" fillId="3" borderId="3" xfId="5"/>
    <xf numFmtId="165" fontId="5" fillId="3" borderId="3" xfId="5" applyNumberFormat="1"/>
    <xf numFmtId="20" fontId="0" fillId="0" borderId="0" xfId="0" applyNumberFormat="1"/>
    <xf numFmtId="0" fontId="2" fillId="0" borderId="2" xfId="2"/>
    <xf numFmtId="0" fontId="1" fillId="0" borderId="1" xfId="1"/>
    <xf numFmtId="2" fontId="3" fillId="2" borderId="3" xfId="3" applyNumberFormat="1"/>
    <xf numFmtId="0" fontId="5" fillId="3" borderId="3" xfId="5" applyAlignment="1">
      <alignment horizontal="center"/>
    </xf>
    <xf numFmtId="0" fontId="5" fillId="3" borderId="3" xfId="5" applyAlignment="1">
      <alignment horizontal="center" wrapText="1"/>
    </xf>
    <xf numFmtId="9" fontId="0" fillId="5" borderId="0" xfId="8" applyFont="1" applyFill="1"/>
    <xf numFmtId="2" fontId="0" fillId="5" borderId="0" xfId="0" applyNumberFormat="1" applyFill="1"/>
    <xf numFmtId="9" fontId="0" fillId="5" borderId="0" xfId="0" applyNumberFormat="1" applyFill="1"/>
    <xf numFmtId="0" fontId="7" fillId="0" borderId="10" xfId="0" applyFont="1" applyBorder="1"/>
    <xf numFmtId="0" fontId="7" fillId="0" borderId="10" xfId="0" applyFont="1" applyBorder="1" applyAlignment="1">
      <alignment wrapText="1"/>
    </xf>
    <xf numFmtId="11" fontId="0" fillId="0" borderId="10" xfId="0" applyNumberFormat="1" applyBorder="1"/>
    <xf numFmtId="9" fontId="0" fillId="5" borderId="10" xfId="0" applyNumberFormat="1" applyFill="1" applyBorder="1"/>
    <xf numFmtId="165" fontId="0" fillId="5" borderId="0" xfId="0" applyNumberFormat="1" applyFill="1"/>
    <xf numFmtId="0" fontId="10" fillId="0" borderId="0" xfId="0" applyFont="1"/>
    <xf numFmtId="11" fontId="5" fillId="3" borderId="3" xfId="5" applyNumberFormat="1"/>
    <xf numFmtId="2" fontId="5" fillId="3" borderId="3" xfId="5" applyNumberFormat="1" applyAlignment="1">
      <alignment horizontal="center"/>
    </xf>
    <xf numFmtId="2" fontId="5" fillId="3" borderId="3" xfId="5" applyNumberFormat="1"/>
    <xf numFmtId="11" fontId="5" fillId="3" borderId="3" xfId="5" applyNumberFormat="1" applyAlignment="1">
      <alignment horizontal="center"/>
    </xf>
    <xf numFmtId="164" fontId="0" fillId="5" borderId="0" xfId="0" applyNumberFormat="1" applyFill="1"/>
    <xf numFmtId="0" fontId="3" fillId="2" borderId="5" xfId="3" applyBorder="1"/>
    <xf numFmtId="0" fontId="0" fillId="5" borderId="0" xfId="0" applyFill="1" applyBorder="1"/>
    <xf numFmtId="0" fontId="3" fillId="5" borderId="0" xfId="3" applyFill="1" applyBorder="1"/>
    <xf numFmtId="165" fontId="5" fillId="3" borderId="11" xfId="5" applyNumberFormat="1" applyBorder="1"/>
    <xf numFmtId="165" fontId="5" fillId="5" borderId="0" xfId="5" applyNumberFormat="1" applyFill="1" applyBorder="1"/>
    <xf numFmtId="0" fontId="8" fillId="5" borderId="0" xfId="7" applyFill="1" applyBorder="1" applyAlignment="1">
      <alignment horizontal="center" vertical="center"/>
    </xf>
    <xf numFmtId="0" fontId="5" fillId="3" borderId="5" xfId="5" applyBorder="1" applyAlignment="1">
      <alignment horizontal="center"/>
    </xf>
    <xf numFmtId="0" fontId="5" fillId="3" borderId="6" xfId="5" applyBorder="1" applyAlignment="1">
      <alignment horizontal="center"/>
    </xf>
    <xf numFmtId="0" fontId="5" fillId="3" borderId="7" xfId="5" applyBorder="1" applyAlignment="1">
      <alignment horizontal="center"/>
    </xf>
    <xf numFmtId="0" fontId="5" fillId="3" borderId="0" xfId="5" applyBorder="1" applyAlignment="1">
      <alignment horizontal="center"/>
    </xf>
    <xf numFmtId="0" fontId="5" fillId="3" borderId="3" xfId="5" applyAlignment="1">
      <alignment horizontal="left" vertical="center"/>
    </xf>
    <xf numFmtId="0" fontId="5" fillId="3" borderId="8" xfId="5" applyBorder="1" applyAlignment="1">
      <alignment horizontal="center"/>
    </xf>
    <xf numFmtId="0" fontId="5" fillId="3" borderId="9" xfId="5" applyBorder="1" applyAlignment="1">
      <alignment horizontal="center"/>
    </xf>
  </cellXfs>
  <cellStyles count="9">
    <cellStyle name="Accent1" xfId="7" builtinId="29"/>
    <cellStyle name="Calculation" xfId="5" builtinId="22"/>
    <cellStyle name="Explanatory Text" xfId="6" builtinId="53"/>
    <cellStyle name="Heading 1" xfId="1" builtinId="16"/>
    <cellStyle name="Heading 2" xfId="2" builtinId="17"/>
    <cellStyle name="Input" xfId="3" builtinId="20"/>
    <cellStyle name="Normal" xfId="0" builtinId="0"/>
    <cellStyle name="Output" xfId="4" builtinId="21"/>
    <cellStyle name="Percent" xfId="8" builtinId="5"/>
  </cellStyles>
  <dxfs count="0"/>
  <tableStyles count="0" defaultTableStyle="TableStyleMedium2" defaultPivotStyle="PivotStyleLight16"/>
  <colors>
    <mruColors>
      <color rgb="FF364B9A"/>
      <color rgb="FFC2E4EF"/>
      <color rgb="FFFEDB8B"/>
      <color rgb="FFF67E4B"/>
      <color rgb="FFEAECCC"/>
      <color rgb="FF4A7BB7"/>
      <color rgb="FF6EA6CD"/>
      <color rgb="FFFEDA8B"/>
      <color rgb="FFFDB366"/>
      <color rgb="FFDD3D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4.3934701238244021E-2"/>
          <c:y val="1.8365928115269769E-3"/>
          <c:w val="0.86160240768497609"/>
          <c:h val="0.9168849985757140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'Select cat_Impact assesment '!$G$5</c:f>
              <c:strCache>
                <c:ptCount val="1"/>
                <c:pt idx="0">
                  <c:v>Deionised water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'Select cat_Impact assesment '!$G$6:$G$10</c:f>
              <c:numCache>
                <c:formatCode>0%</c:formatCode>
                <c:ptCount val="5"/>
                <c:pt idx="0">
                  <c:v>1.6861316675985661E-3</c:v>
                </c:pt>
                <c:pt idx="1">
                  <c:v>2.6586470989121031E-4</c:v>
                </c:pt>
                <c:pt idx="2">
                  <c:v>5.9854790578868413E-3</c:v>
                </c:pt>
                <c:pt idx="3">
                  <c:v>1.255767137216354E-3</c:v>
                </c:pt>
                <c:pt idx="4">
                  <c:v>1.4011201900732053E-3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8E-AA4E-9869-D4C2B3FEDB3D}"/>
            </c:ext>
          </c:extLst>
        </c:ser>
        <c:ser>
          <c:idx val="1"/>
          <c:order val="1"/>
          <c:tx>
            <c:strRef>
              <c:f>'Select cat_Impact assesment '!$H$5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'Select cat_Impact assesment '!$H$6:$H$13</c:f>
              <c:numCache>
                <c:formatCode>0%</c:formatCode>
                <c:ptCount val="8"/>
                <c:pt idx="0">
                  <c:v>0.82844465782680399</c:v>
                </c:pt>
                <c:pt idx="1">
                  <c:v>0.7011306121051335</c:v>
                </c:pt>
                <c:pt idx="2">
                  <c:v>0.18943271467821862</c:v>
                </c:pt>
                <c:pt idx="3">
                  <c:v>0.60106232015421746</c:v>
                </c:pt>
                <c:pt idx="4">
                  <c:v>0.62515537970332469</c:v>
                </c:pt>
                <c:pt idx="5">
                  <c:v>0.67174129071301958</c:v>
                </c:pt>
                <c:pt idx="6">
                  <c:v>0.6417796755746934</c:v>
                </c:pt>
                <c:pt idx="7">
                  <c:v>0.82051384920360981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8E-AA4E-9869-D4C2B3FEDB3D}"/>
            </c:ext>
          </c:extLst>
        </c:ser>
        <c:ser>
          <c:idx val="2"/>
          <c:order val="2"/>
          <c:tx>
            <c:strRef>
              <c:f>'Select cat_Impact assesment '!$I$5</c:f>
              <c:strCache>
                <c:ptCount val="1"/>
                <c:pt idx="0">
                  <c:v>Waste electrolyte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'Select cat_Impact assesment '!$I$6:$I$13</c:f>
              <c:numCache>
                <c:formatCode>0%</c:formatCode>
                <c:ptCount val="8"/>
                <c:pt idx="0">
                  <c:v>1.4789527661430433E-2</c:v>
                </c:pt>
                <c:pt idx="1">
                  <c:v>4.7374760627085066E-2</c:v>
                </c:pt>
                <c:pt idx="2">
                  <c:v>7.1219805028391175E-2</c:v>
                </c:pt>
                <c:pt idx="3">
                  <c:v>2.7899973219829215E-2</c:v>
                </c:pt>
                <c:pt idx="4">
                  <c:v>1.7314692954425837E-2</c:v>
                </c:pt>
                <c:pt idx="5">
                  <c:v>2.3124343703916569E-2</c:v>
                </c:pt>
                <c:pt idx="6">
                  <c:v>3.2385769967967729E-2</c:v>
                </c:pt>
                <c:pt idx="7">
                  <c:v>1.892422904149418E-2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8E-AA4E-9869-D4C2B3FEDB3D}"/>
            </c:ext>
          </c:extLst>
        </c:ser>
        <c:ser>
          <c:idx val="3"/>
          <c:order val="3"/>
          <c:tx>
            <c:strRef>
              <c:f>'Select cat_Impact assesment '!$J$5</c:f>
              <c:strCache>
                <c:ptCount val="1"/>
                <c:pt idx="0">
                  <c:v>Waste separator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F8E-AA4E-9869-D4C2B3FEDB3D}"/>
              </c:ext>
            </c:extLst>
          </c:dPt>
          <c:val>
            <c:numRef>
              <c:f>'Select cat_Impact assesment '!$J$6:$J$13</c:f>
              <c:numCache>
                <c:formatCode>0%</c:formatCode>
                <c:ptCount val="8"/>
                <c:pt idx="0">
                  <c:v>1.3588505117032457E-2</c:v>
                </c:pt>
                <c:pt idx="1">
                  <c:v>8.5982228371474206E-2</c:v>
                </c:pt>
                <c:pt idx="2">
                  <c:v>3.5472610764223735E-2</c:v>
                </c:pt>
                <c:pt idx="3">
                  <c:v>7.8888910314304561E-2</c:v>
                </c:pt>
                <c:pt idx="4">
                  <c:v>7.2550564614527344E-2</c:v>
                </c:pt>
                <c:pt idx="5">
                  <c:v>5.2861951453288866E-3</c:v>
                </c:pt>
                <c:pt idx="6">
                  <c:v>5.4425711959726106E-2</c:v>
                </c:pt>
                <c:pt idx="7">
                  <c:v>2.491199063069682E-2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F8E-AA4E-9869-D4C2B3FEDB3D}"/>
            </c:ext>
          </c:extLst>
        </c:ser>
        <c:ser>
          <c:idx val="4"/>
          <c:order val="4"/>
          <c:tx>
            <c:strRef>
              <c:f>'Select cat_Impact assesment '!$K$5</c:f>
              <c:strCache>
                <c:ptCount val="1"/>
                <c:pt idx="0">
                  <c:v>Waste casing</c:v>
                </c:pt>
              </c:strCache>
            </c:strRef>
          </c:tx>
          <c:spPr>
            <a:solidFill>
              <a:srgbClr val="EAECCC"/>
            </a:solidFill>
            <a:ln>
              <a:noFill/>
            </a:ln>
            <a:effectLst/>
          </c:spPr>
          <c:invertIfNegative val="0"/>
          <c:val>
            <c:numRef>
              <c:f>'Select cat_Impact assesment '!$K$6:$K$13</c:f>
              <c:numCache>
                <c:formatCode>0%</c:formatCode>
                <c:ptCount val="8"/>
                <c:pt idx="0">
                  <c:v>2.6089373003368055E-2</c:v>
                </c:pt>
                <c:pt idx="1">
                  <c:v>7.443594526973892E-3</c:v>
                </c:pt>
                <c:pt idx="2">
                  <c:v>0.3018547063148464</c:v>
                </c:pt>
                <c:pt idx="3">
                  <c:v>3.5792334185162054E-2</c:v>
                </c:pt>
                <c:pt idx="4">
                  <c:v>2.2194977108831601E-2</c:v>
                </c:pt>
                <c:pt idx="5">
                  <c:v>1.0459716859537413E-2</c:v>
                </c:pt>
                <c:pt idx="6">
                  <c:v>5.8809572914314871E-2</c:v>
                </c:pt>
                <c:pt idx="7">
                  <c:v>9.7845140635792957E-3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F8E-AA4E-9869-D4C2B3FEDB3D}"/>
            </c:ext>
          </c:extLst>
        </c:ser>
        <c:ser>
          <c:idx val="5"/>
          <c:order val="5"/>
          <c:tx>
            <c:strRef>
              <c:f>'Select cat_Impact assesment '!$L$5</c:f>
              <c:strCache>
                <c:ptCount val="1"/>
                <c:pt idx="0">
                  <c:v>Waste Al foil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'Select cat_Impact assesment '!$L$6:$L$13</c:f>
              <c:numCache>
                <c:formatCode>0%</c:formatCode>
                <c:ptCount val="8"/>
                <c:pt idx="0">
                  <c:v>4.9098591261639134E-3</c:v>
                </c:pt>
                <c:pt idx="1">
                  <c:v>1.4008385910619021E-3</c:v>
                </c:pt>
                <c:pt idx="2">
                  <c:v>5.6807194422960922E-2</c:v>
                </c:pt>
                <c:pt idx="3">
                  <c:v>6.7358965898889067E-3</c:v>
                </c:pt>
                <c:pt idx="4">
                  <c:v>4.1769578325522722E-3</c:v>
                </c:pt>
                <c:pt idx="5">
                  <c:v>1.9684542159468708E-3</c:v>
                </c:pt>
                <c:pt idx="6">
                  <c:v>1.1067598989131506E-2</c:v>
                </c:pt>
                <c:pt idx="7">
                  <c:v>1.8413852132031726E-3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F8E-AA4E-9869-D4C2B3FEDB3D}"/>
            </c:ext>
          </c:extLst>
        </c:ser>
        <c:ser>
          <c:idx val="6"/>
          <c:order val="6"/>
          <c:tx>
            <c:strRef>
              <c:f>'Select cat_Impact assesment '!$M$5</c:f>
              <c:strCache>
                <c:ptCount val="1"/>
                <c:pt idx="0">
                  <c:v>Waste Cu foil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'Select cat_Impact assesment '!$M$6:$M$10</c:f>
              <c:numCache>
                <c:formatCode>0%</c:formatCode>
                <c:ptCount val="5"/>
                <c:pt idx="0">
                  <c:v>5.9936918272653688E-3</c:v>
                </c:pt>
                <c:pt idx="1">
                  <c:v>1.7100683744312695E-3</c:v>
                </c:pt>
                <c:pt idx="2">
                  <c:v>6.9347166220794898E-2</c:v>
                </c:pt>
                <c:pt idx="3">
                  <c:v>8.2228201059742542E-3</c:v>
                </c:pt>
                <c:pt idx="4">
                  <c:v>5.0990053646123353E-3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F8E-AA4E-9869-D4C2B3FEDB3D}"/>
            </c:ext>
          </c:extLst>
        </c:ser>
        <c:ser>
          <c:idx val="7"/>
          <c:order val="7"/>
          <c:tx>
            <c:strRef>
              <c:f>'Select cat_Impact assesment '!$N$5</c:f>
              <c:strCache>
                <c:ptCount val="1"/>
                <c:pt idx="0">
                  <c:v>Waste graphite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'Select cat_Impact assesment '!$N$6:$N$13</c:f>
              <c:numCache>
                <c:formatCode>0%</c:formatCode>
                <c:ptCount val="8"/>
                <c:pt idx="0">
                  <c:v>1.6317956603488018E-2</c:v>
                </c:pt>
                <c:pt idx="1">
                  <c:v>0.10534375028111119</c:v>
                </c:pt>
                <c:pt idx="2">
                  <c:v>8.5055650157984164E-2</c:v>
                </c:pt>
                <c:pt idx="3">
                  <c:v>2.9672327767580619E-2</c:v>
                </c:pt>
                <c:pt idx="4">
                  <c:v>6.4192164978693039E-2</c:v>
                </c:pt>
                <c:pt idx="5">
                  <c:v>7.3205358362286249E-3</c:v>
                </c:pt>
                <c:pt idx="6">
                  <c:v>3.0881282556693718E-2</c:v>
                </c:pt>
                <c:pt idx="7">
                  <c:v>4.0609680593222258E-3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F8E-AA4E-9869-D4C2B3FEDB3D}"/>
            </c:ext>
          </c:extLst>
        </c:ser>
        <c:ser>
          <c:idx val="8"/>
          <c:order val="8"/>
          <c:tx>
            <c:strRef>
              <c:f>'Select cat_Impact assesment '!$O$5</c:f>
              <c:strCache>
                <c:ptCount val="1"/>
                <c:pt idx="0">
                  <c:v>Material losses</c:v>
                </c:pt>
              </c:strCache>
            </c:strRef>
          </c:tx>
          <c:spPr>
            <a:solidFill>
              <a:srgbClr val="6EA6CD"/>
            </a:solidFill>
            <a:ln>
              <a:noFill/>
            </a:ln>
            <a:effectLst/>
          </c:spPr>
          <c:invertIfNegative val="0"/>
          <c:val>
            <c:numRef>
              <c:f>'Select cat_Impact assesment '!$O$6:$O$13</c:f>
              <c:numCache>
                <c:formatCode>0%</c:formatCode>
                <c:ptCount val="8"/>
                <c:pt idx="0">
                  <c:v>2.9506784679800602E-2</c:v>
                </c:pt>
                <c:pt idx="1">
                  <c:v>3.8357888657750965E-2</c:v>
                </c:pt>
                <c:pt idx="2">
                  <c:v>0.11313446878386278</c:v>
                </c:pt>
                <c:pt idx="3">
                  <c:v>0.12346738173289923</c:v>
                </c:pt>
                <c:pt idx="4">
                  <c:v>4.6418191284962385E-2</c:v>
                </c:pt>
                <c:pt idx="5">
                  <c:v>6.1800679070067574E-2</c:v>
                </c:pt>
                <c:pt idx="6">
                  <c:v>4.7001802844519873E-2</c:v>
                </c:pt>
                <c:pt idx="7">
                  <c:v>4.1151871058074038E-2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F8E-AA4E-9869-D4C2B3FEDB3D}"/>
            </c:ext>
          </c:extLst>
        </c:ser>
        <c:ser>
          <c:idx val="9"/>
          <c:order val="9"/>
          <c:tx>
            <c:strRef>
              <c:f>'Select cat_Impact assesment '!$P$5</c:f>
              <c:strCache>
                <c:ptCount val="1"/>
                <c:pt idx="0">
                  <c:v>Water evaporation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solidFill>
                <a:srgbClr val="4A7BB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8F8E-AA4E-9869-D4C2B3FEDB3D}"/>
              </c:ext>
            </c:extLst>
          </c:dPt>
          <c:val>
            <c:numRef>
              <c:f>'Select cat_Impact assesment '!$P$6:$P$10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8E-AA4E-9869-D4C2B3FEDB3D}"/>
            </c:ext>
          </c:extLst>
        </c:ser>
        <c:ser>
          <c:idx val="10"/>
          <c:order val="10"/>
          <c:tx>
            <c:strRef>
              <c:f>'Select cat_Impact assesment '!$Q$5</c:f>
              <c:strCache>
                <c:ptCount val="1"/>
                <c:pt idx="0">
                  <c:v>Lithium carbonate</c:v>
                </c:pt>
              </c:strCache>
            </c:strRef>
          </c:tx>
          <c:spPr>
            <a:solidFill>
              <a:srgbClr val="364B9A"/>
            </a:solidFill>
            <a:ln>
              <a:noFill/>
            </a:ln>
            <a:effectLst/>
          </c:spPr>
          <c:invertIfNegative val="0"/>
          <c:val>
            <c:numRef>
              <c:f>'Select cat_Impact assesment '!$Q$6:$Q$13</c:f>
              <c:numCache>
                <c:formatCode>0%</c:formatCode>
                <c:ptCount val="8"/>
                <c:pt idx="0">
                  <c:v>5.9686614521363132E-2</c:v>
                </c:pt>
                <c:pt idx="1">
                  <c:v>1.1902327889345355E-2</c:v>
                </c:pt>
                <c:pt idx="2">
                  <c:v>7.2602138705089136E-2</c:v>
                </c:pt>
                <c:pt idx="3">
                  <c:v>8.7914202927186089E-2</c:v>
                </c:pt>
                <c:pt idx="4">
                  <c:v>0.14240888010225602</c:v>
                </c:pt>
                <c:pt idx="5">
                  <c:v>0.21332838620529923</c:v>
                </c:pt>
                <c:pt idx="6">
                  <c:v>0.10921257614470747</c:v>
                </c:pt>
                <c:pt idx="7">
                  <c:v>7.2920740580021917E-2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8E-AA4E-9869-D4C2B3FED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100"/>
        <c:axId val="181397456"/>
        <c:axId val="181255696"/>
      </c:barChart>
      <c:catAx>
        <c:axId val="181397456"/>
        <c:scaling>
          <c:orientation val="maxMin"/>
        </c:scaling>
        <c:delete val="1"/>
        <c:axPos val="r"/>
        <c:majorTickMark val="out"/>
        <c:minorTickMark val="none"/>
        <c:tickLblPos val="nextTo"/>
        <c:crossAx val="181255696"/>
        <c:crosses val="max"/>
        <c:auto val="1"/>
        <c:lblAlgn val="ctr"/>
        <c:lblOffset val="100"/>
        <c:noMultiLvlLbl val="0"/>
      </c:catAx>
      <c:valAx>
        <c:axId val="18125569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397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934701238244021E-2"/>
          <c:y val="1.8365928115269769E-3"/>
          <c:w val="0.87540667277833939"/>
          <c:h val="0.8013704558041412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'Impact assesment'!$G$5</c:f>
              <c:strCache>
                <c:ptCount val="1"/>
                <c:pt idx="0">
                  <c:v>Deionised water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'Impact assesment'!$G$6:$G$23</c:f>
              <c:numCache>
                <c:formatCode>0%</c:formatCode>
                <c:ptCount val="18"/>
                <c:pt idx="0">
                  <c:v>1.4898659414900929E-3</c:v>
                </c:pt>
                <c:pt idx="1">
                  <c:v>2.4991282729773767E-4</c:v>
                </c:pt>
                <c:pt idx="2">
                  <c:v>2.0827248632468036E-4</c:v>
                </c:pt>
                <c:pt idx="3">
                  <c:v>2.5402524088799597E-4</c:v>
                </c:pt>
                <c:pt idx="4">
                  <c:v>2.6157905484227228E-3</c:v>
                </c:pt>
                <c:pt idx="5">
                  <c:v>5.6263503144136301E-3</c:v>
                </c:pt>
                <c:pt idx="6">
                  <c:v>5.8565543277355357E-3</c:v>
                </c:pt>
                <c:pt idx="7">
                  <c:v>5.8893150522269105E-4</c:v>
                </c:pt>
                <c:pt idx="8">
                  <c:v>1.8336136488483588E-4</c:v>
                </c:pt>
                <c:pt idx="9">
                  <c:v>5.1833970385231404E-4</c:v>
                </c:pt>
                <c:pt idx="10">
                  <c:v>2.6509580085639517E-4</c:v>
                </c:pt>
                <c:pt idx="11">
                  <c:v>4.5481024716498243E-4</c:v>
                </c:pt>
                <c:pt idx="12">
                  <c:v>1.1804211089833727E-3</c:v>
                </c:pt>
                <c:pt idx="13">
                  <c:v>1.335061878725835E-3</c:v>
                </c:pt>
                <c:pt idx="14">
                  <c:v>9.7809147716181738E-4</c:v>
                </c:pt>
                <c:pt idx="15">
                  <c:v>1.3170529786688129E-3</c:v>
                </c:pt>
                <c:pt idx="16">
                  <c:v>1.3713111972334965E-3</c:v>
                </c:pt>
                <c:pt idx="17">
                  <c:v>6.8375820705652722E-4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3F-EB40-9344-038ED3EE2294}"/>
            </c:ext>
          </c:extLst>
        </c:ser>
        <c:ser>
          <c:idx val="1"/>
          <c:order val="1"/>
          <c:tx>
            <c:strRef>
              <c:f>'Impact assesment'!$H$5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DD3D2D"/>
            </a:solidFill>
            <a:ln>
              <a:noFill/>
            </a:ln>
            <a:effectLst/>
          </c:spPr>
          <c:invertIfNegative val="0"/>
          <c:val>
            <c:numRef>
              <c:f>'Impact assesment'!$H$6:$H$30</c:f>
              <c:numCache>
                <c:formatCode>0%</c:formatCode>
                <c:ptCount val="25"/>
                <c:pt idx="0">
                  <c:v>0.77873797835719571</c:v>
                </c:pt>
                <c:pt idx="1">
                  <c:v>0.65906277537882541</c:v>
                </c:pt>
                <c:pt idx="2">
                  <c:v>8.220124746161733E-4</c:v>
                </c:pt>
                <c:pt idx="3">
                  <c:v>0.72907508035417323</c:v>
                </c:pt>
                <c:pt idx="4">
                  <c:v>0.60160688279900953</c:v>
                </c:pt>
                <c:pt idx="5">
                  <c:v>0.17806675179752549</c:v>
                </c:pt>
                <c:pt idx="6">
                  <c:v>0.14662851563976578</c:v>
                </c:pt>
                <c:pt idx="7">
                  <c:v>0.86601115321607336</c:v>
                </c:pt>
                <c:pt idx="8">
                  <c:v>0.90482397244404811</c:v>
                </c:pt>
                <c:pt idx="9">
                  <c:v>0.75451187337789227</c:v>
                </c:pt>
                <c:pt idx="10">
                  <c:v>0.45108262601762877</c:v>
                </c:pt>
                <c:pt idx="11">
                  <c:v>0.77203582855328978</c:v>
                </c:pt>
                <c:pt idx="12">
                  <c:v>0.56499858094496436</c:v>
                </c:pt>
                <c:pt idx="13">
                  <c:v>0.50277758910482484</c:v>
                </c:pt>
                <c:pt idx="14">
                  <c:v>0.6464075805997983</c:v>
                </c:pt>
                <c:pt idx="15">
                  <c:v>0.58764605692112515</c:v>
                </c:pt>
                <c:pt idx="16">
                  <c:v>0.61001002814353711</c:v>
                </c:pt>
                <c:pt idx="17">
                  <c:v>0.32661673413278469</c:v>
                </c:pt>
                <c:pt idx="18">
                  <c:v>0.93580694494122896</c:v>
                </c:pt>
                <c:pt idx="19">
                  <c:v>0.75883351624836914</c:v>
                </c:pt>
                <c:pt idx="20">
                  <c:v>0.63143681327023837</c:v>
                </c:pt>
                <c:pt idx="21">
                  <c:v>0.84642334011103171</c:v>
                </c:pt>
                <c:pt idx="22">
                  <c:v>0.60327289504021175</c:v>
                </c:pt>
                <c:pt idx="23">
                  <c:v>0.77637257267280713</c:v>
                </c:pt>
                <c:pt idx="24">
                  <c:v>0.77128301825139323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3F-EB40-9344-038ED3EE2294}"/>
            </c:ext>
          </c:extLst>
        </c:ser>
        <c:ser>
          <c:idx val="2"/>
          <c:order val="2"/>
          <c:tx>
            <c:strRef>
              <c:f>'Impact assesment'!$I$5</c:f>
              <c:strCache>
                <c:ptCount val="1"/>
                <c:pt idx="0">
                  <c:v>Waste electrolyte</c:v>
                </c:pt>
              </c:strCache>
            </c:strRef>
          </c:tx>
          <c:spPr>
            <a:solidFill>
              <a:srgbClr val="F67E4B"/>
            </a:solidFill>
            <a:ln>
              <a:noFill/>
            </a:ln>
            <a:effectLst/>
          </c:spPr>
          <c:invertIfNegative val="0"/>
          <c:val>
            <c:numRef>
              <c:f>'Impact assesment'!$I$6:$I$30</c:f>
              <c:numCache>
                <c:formatCode>0%</c:formatCode>
                <c:ptCount val="25"/>
                <c:pt idx="0">
                  <c:v>1.3902156001744607E-2</c:v>
                </c:pt>
                <c:pt idx="1">
                  <c:v>4.4532274989459962E-2</c:v>
                </c:pt>
                <c:pt idx="2">
                  <c:v>4.8503410623909766E-5</c:v>
                </c:pt>
                <c:pt idx="3">
                  <c:v>4.9265618287256945E-2</c:v>
                </c:pt>
                <c:pt idx="4">
                  <c:v>2.6229330423260269E-2</c:v>
                </c:pt>
                <c:pt idx="5">
                  <c:v>6.6946616726687697E-2</c:v>
                </c:pt>
                <c:pt idx="6">
                  <c:v>6.9765615388865485E-2</c:v>
                </c:pt>
                <c:pt idx="7">
                  <c:v>5.2601296884190064E-3</c:v>
                </c:pt>
                <c:pt idx="8">
                  <c:v>3.9544321580517322E-3</c:v>
                </c:pt>
                <c:pt idx="9">
                  <c:v>3.6249697020573034E-2</c:v>
                </c:pt>
                <c:pt idx="10">
                  <c:v>1.1370169806520596E-2</c:v>
                </c:pt>
                <c:pt idx="11">
                  <c:v>1.6361818738299418E-2</c:v>
                </c:pt>
                <c:pt idx="12">
                  <c:v>2.6225974826639461E-2</c:v>
                </c:pt>
                <c:pt idx="13">
                  <c:v>1.573367218390646E-2</c:v>
                </c:pt>
                <c:pt idx="14">
                  <c:v>3.9953944069161723E-2</c:v>
                </c:pt>
                <c:pt idx="15">
                  <c:v>1.6275811377160287E-2</c:v>
                </c:pt>
                <c:pt idx="16">
                  <c:v>1.7081371953465745E-2</c:v>
                </c:pt>
                <c:pt idx="17">
                  <c:v>6.873414566379364E-3</c:v>
                </c:pt>
                <c:pt idx="18">
                  <c:v>4.919847344838998E-4</c:v>
                </c:pt>
                <c:pt idx="19">
                  <c:v>4.5368063590874178E-3</c:v>
                </c:pt>
                <c:pt idx="20">
                  <c:v>2.1736883081681573E-2</c:v>
                </c:pt>
                <c:pt idx="21">
                  <c:v>2.1076518286559775E-2</c:v>
                </c:pt>
                <c:pt idx="22">
                  <c:v>3.0442623769889661E-2</c:v>
                </c:pt>
                <c:pt idx="23">
                  <c:v>1.4653905810032043E-2</c:v>
                </c:pt>
                <c:pt idx="24">
                  <c:v>1.7788775299004529E-2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3F-EB40-9344-038ED3EE2294}"/>
            </c:ext>
          </c:extLst>
        </c:ser>
        <c:ser>
          <c:idx val="3"/>
          <c:order val="3"/>
          <c:tx>
            <c:strRef>
              <c:f>'Impact assesment'!$J$5</c:f>
              <c:strCache>
                <c:ptCount val="1"/>
                <c:pt idx="0">
                  <c:v>Waste separator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solidFill>
                <a:srgbClr val="FDB36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E1-8246-9B5F-103332E454C4}"/>
              </c:ext>
            </c:extLst>
          </c:dPt>
          <c:val>
            <c:numRef>
              <c:f>'Impact assesment'!$J$6:$J$30</c:f>
              <c:numCache>
                <c:formatCode>0%</c:formatCode>
                <c:ptCount val="25"/>
                <c:pt idx="0">
                  <c:v>1.277319481001051E-2</c:v>
                </c:pt>
                <c:pt idx="1">
                  <c:v>8.0823294669185752E-2</c:v>
                </c:pt>
                <c:pt idx="2">
                  <c:v>5.144349793549871E-5</c:v>
                </c:pt>
                <c:pt idx="3">
                  <c:v>8.9423129562150636E-2</c:v>
                </c:pt>
                <c:pt idx="4">
                  <c:v>8.5203026885182949E-3</c:v>
                </c:pt>
                <c:pt idx="5">
                  <c:v>3.334425411837031E-2</c:v>
                </c:pt>
                <c:pt idx="6">
                  <c:v>3.4734826207546893E-2</c:v>
                </c:pt>
                <c:pt idx="7">
                  <c:v>2.9151842838711084E-3</c:v>
                </c:pt>
                <c:pt idx="8">
                  <c:v>1.6142019916482893E-3</c:v>
                </c:pt>
                <c:pt idx="9">
                  <c:v>1.7547661345353061E-3</c:v>
                </c:pt>
                <c:pt idx="10">
                  <c:v>5.7465741999848073E-2</c:v>
                </c:pt>
                <c:pt idx="11">
                  <c:v>2.157922684603162E-2</c:v>
                </c:pt>
                <c:pt idx="12">
                  <c:v>7.4155575695446285E-2</c:v>
                </c:pt>
                <c:pt idx="13">
                  <c:v>6.2124089254982175E-2</c:v>
                </c:pt>
                <c:pt idx="14">
                  <c:v>8.9897389615664264E-2</c:v>
                </c:pt>
                <c:pt idx="15">
                  <c:v>6.8197530737655693E-2</c:v>
                </c:pt>
                <c:pt idx="16">
                  <c:v>7.300476021073489E-2</c:v>
                </c:pt>
                <c:pt idx="17">
                  <c:v>1.2088182296511646E-2</c:v>
                </c:pt>
                <c:pt idx="18">
                  <c:v>9.8561361508605326E-5</c:v>
                </c:pt>
                <c:pt idx="19">
                  <c:v>7.5628002386560417E-3</c:v>
                </c:pt>
                <c:pt idx="20">
                  <c:v>4.9690234366091528E-3</c:v>
                </c:pt>
                <c:pt idx="21">
                  <c:v>2.4089868647050724E-3</c:v>
                </c:pt>
                <c:pt idx="22">
                  <c:v>5.1160169242142534E-2</c:v>
                </c:pt>
                <c:pt idx="23">
                  <c:v>1.8017053976969177E-2</c:v>
                </c:pt>
                <c:pt idx="24">
                  <c:v>2.341727119285501E-2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3F-EB40-9344-038ED3EE2294}"/>
            </c:ext>
          </c:extLst>
        </c:ser>
        <c:ser>
          <c:idx val="4"/>
          <c:order val="4"/>
          <c:tx>
            <c:strRef>
              <c:f>'Impact assesment'!$K$5</c:f>
              <c:strCache>
                <c:ptCount val="1"/>
                <c:pt idx="0">
                  <c:v>Waste casing</c:v>
                </c:pt>
              </c:strCache>
            </c:strRef>
          </c:tx>
          <c:spPr>
            <a:solidFill>
              <a:srgbClr val="EAECCC"/>
            </a:solidFill>
            <a:ln>
              <a:noFill/>
            </a:ln>
            <a:effectLst/>
          </c:spPr>
          <c:invertIfNegative val="0"/>
          <c:val>
            <c:numRef>
              <c:f>'Impact assesment'!$K$6:$K$30</c:f>
              <c:numCache>
                <c:formatCode>0%</c:formatCode>
                <c:ptCount val="25"/>
                <c:pt idx="0">
                  <c:v>2.4524010623165969E-2</c:v>
                </c:pt>
                <c:pt idx="1">
                  <c:v>6.9969788553554584E-3</c:v>
                </c:pt>
                <c:pt idx="2">
                  <c:v>1.7995004886384413E-4</c:v>
                </c:pt>
                <c:pt idx="3">
                  <c:v>7.7146337168922377E-3</c:v>
                </c:pt>
                <c:pt idx="4">
                  <c:v>6.1964189769756081E-2</c:v>
                </c:pt>
                <c:pt idx="5">
                  <c:v>0.28374342393595559</c:v>
                </c:pt>
                <c:pt idx="6">
                  <c:v>0.29632003513637667</c:v>
                </c:pt>
                <c:pt idx="7">
                  <c:v>8.5368499815245795E-3</c:v>
                </c:pt>
                <c:pt idx="8">
                  <c:v>5.9453093009933468E-3</c:v>
                </c:pt>
                <c:pt idx="9">
                  <c:v>1.1882480723054652E-2</c:v>
                </c:pt>
                <c:pt idx="10">
                  <c:v>1.3409617971093378E-2</c:v>
                </c:pt>
                <c:pt idx="11">
                  <c:v>2.4128945934697412E-2</c:v>
                </c:pt>
                <c:pt idx="12">
                  <c:v>3.364479413405233E-2</c:v>
                </c:pt>
                <c:pt idx="13">
                  <c:v>1.6229471566089136E-2</c:v>
                </c:pt>
                <c:pt idx="14">
                  <c:v>5.643073738238092E-2</c:v>
                </c:pt>
                <c:pt idx="15">
                  <c:v>2.0863278482301705E-2</c:v>
                </c:pt>
                <c:pt idx="16">
                  <c:v>2.1962363030697939E-2</c:v>
                </c:pt>
                <c:pt idx="17">
                  <c:v>8.0349085786820939E-3</c:v>
                </c:pt>
                <c:pt idx="18">
                  <c:v>9.1561171538448222E-4</c:v>
                </c:pt>
                <c:pt idx="19">
                  <c:v>4.5646310560136044E-2</c:v>
                </c:pt>
                <c:pt idx="20">
                  <c:v>9.8321338479651667E-3</c:v>
                </c:pt>
                <c:pt idx="21">
                  <c:v>1.9920525184222403E-3</c:v>
                </c:pt>
                <c:pt idx="22">
                  <c:v>5.5280998539455978E-2</c:v>
                </c:pt>
                <c:pt idx="23">
                  <c:v>2.4230317983881117E-2</c:v>
                </c:pt>
                <c:pt idx="24">
                  <c:v>9.1974432197645378E-3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3F-EB40-9344-038ED3EE2294}"/>
            </c:ext>
          </c:extLst>
        </c:ser>
        <c:ser>
          <c:idx val="5"/>
          <c:order val="5"/>
          <c:tx>
            <c:strRef>
              <c:f>'Impact assesment'!$L$5</c:f>
              <c:strCache>
                <c:ptCount val="1"/>
                <c:pt idx="0">
                  <c:v>Waste Al foil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'Impact assesment'!$L$6:$L$30</c:f>
              <c:numCache>
                <c:formatCode>0%</c:formatCode>
                <c:ptCount val="25"/>
                <c:pt idx="0">
                  <c:v>4.6152675785940782E-3</c:v>
                </c:pt>
                <c:pt idx="1">
                  <c:v>1.3167882755981879E-3</c:v>
                </c:pt>
                <c:pt idx="2">
                  <c:v>3.3865489582816984E-5</c:v>
                </c:pt>
                <c:pt idx="3">
                  <c:v>1.4518464953145978E-3</c:v>
                </c:pt>
                <c:pt idx="4">
                  <c:v>1.1661278429232995E-2</c:v>
                </c:pt>
                <c:pt idx="5">
                  <c:v>5.3398762757583262E-2</c:v>
                </c:pt>
                <c:pt idx="6">
                  <c:v>5.57656034352274E-2</c:v>
                </c:pt>
                <c:pt idx="7">
                  <c:v>1.60658252634395E-3</c:v>
                </c:pt>
                <c:pt idx="8">
                  <c:v>1.1188705503034117E-3</c:v>
                </c:pt>
                <c:pt idx="9">
                  <c:v>2.2362096019718451E-3</c:v>
                </c:pt>
                <c:pt idx="10">
                  <c:v>2.5236074153734862E-3</c:v>
                </c:pt>
                <c:pt idx="11">
                  <c:v>4.5409188402839628E-3</c:v>
                </c:pt>
                <c:pt idx="12">
                  <c:v>6.3317427944955722E-3</c:v>
                </c:pt>
                <c:pt idx="13">
                  <c:v>3.0542864740863451E-3</c:v>
                </c:pt>
                <c:pt idx="14">
                  <c:v>1.0619916810468142E-2</c:v>
                </c:pt>
                <c:pt idx="15">
                  <c:v>3.926340362599136E-3</c:v>
                </c:pt>
                <c:pt idx="16">
                  <c:v>4.1331812973993843E-3</c:v>
                </c:pt>
                <c:pt idx="17">
                  <c:v>1.5121202494150433E-3</c:v>
                </c:pt>
                <c:pt idx="18">
                  <c:v>1.7231247896309121E-4</c:v>
                </c:pt>
                <c:pt idx="19">
                  <c:v>8.5903541817759829E-3</c:v>
                </c:pt>
                <c:pt idx="20">
                  <c:v>1.8503469629900585E-3</c:v>
                </c:pt>
                <c:pt idx="21">
                  <c:v>3.7489200051341173E-4</c:v>
                </c:pt>
                <c:pt idx="22">
                  <c:v>1.0403543049783614E-2</c:v>
                </c:pt>
                <c:pt idx="23">
                  <c:v>4.5599964348569822E-3</c:v>
                </c:pt>
                <c:pt idx="24">
                  <c:v>1.7309021004109821E-3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3F-EB40-9344-038ED3EE2294}"/>
            </c:ext>
          </c:extLst>
        </c:ser>
        <c:ser>
          <c:idx val="6"/>
          <c:order val="6"/>
          <c:tx>
            <c:strRef>
              <c:f>'Impact assesment'!$M$5</c:f>
              <c:strCache>
                <c:ptCount val="1"/>
                <c:pt idx="0">
                  <c:v>Waste Cu foil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'Impact assesment'!$M$6:$M$23</c:f>
              <c:numCache>
                <c:formatCode>0%</c:formatCode>
                <c:ptCount val="18"/>
                <c:pt idx="0">
                  <c:v>5.6340703176294468E-3</c:v>
                </c:pt>
                <c:pt idx="1">
                  <c:v>1.6074642719653932E-3</c:v>
                </c:pt>
                <c:pt idx="2">
                  <c:v>4.13411674190862E-5</c:v>
                </c:pt>
                <c:pt idx="3">
                  <c:v>1.7723360792654369E-3</c:v>
                </c:pt>
                <c:pt idx="4">
                  <c:v>1.4235461226230376E-2</c:v>
                </c:pt>
                <c:pt idx="5">
                  <c:v>6.5186336247547202E-2</c:v>
                </c:pt>
                <c:pt idx="6">
                  <c:v>6.8075647989800508E-2</c:v>
                </c:pt>
                <c:pt idx="7">
                  <c:v>1.961229499775593E-3</c:v>
                </c:pt>
                <c:pt idx="8">
                  <c:v>1.3658569626540402E-3</c:v>
                </c:pt>
                <c:pt idx="9">
                  <c:v>2.7298443541827052E-3</c:v>
                </c:pt>
                <c:pt idx="10">
                  <c:v>3.0806841402327796E-3</c:v>
                </c:pt>
                <c:pt idx="11">
                  <c:v>5.54330937852181E-3</c:v>
                </c:pt>
                <c:pt idx="12">
                  <c:v>7.7294508996157982E-3</c:v>
                </c:pt>
                <c:pt idx="13">
                  <c:v>3.7285085798706751E-3</c:v>
                </c:pt>
                <c:pt idx="14">
                  <c:v>1.2964222996530838E-2</c:v>
                </c:pt>
                <c:pt idx="15">
                  <c:v>4.7930650427355946E-3</c:v>
                </c:pt>
                <c:pt idx="16">
                  <c:v>5.0455653260634359E-3</c:v>
                </c:pt>
                <c:pt idx="17">
                  <c:v>1.845915035008857E-3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3F-EB40-9344-038ED3EE2294}"/>
            </c:ext>
          </c:extLst>
        </c:ser>
        <c:ser>
          <c:idx val="7"/>
          <c:order val="7"/>
          <c:tx>
            <c:strRef>
              <c:f>'Impact assesment'!$N$5</c:f>
              <c:strCache>
                <c:ptCount val="1"/>
                <c:pt idx="0">
                  <c:v>Waste graphite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'Impact assesment'!$N$6:$N$30</c:f>
              <c:numCache>
                <c:formatCode>0%</c:formatCode>
                <c:ptCount val="25"/>
                <c:pt idx="0">
                  <c:v>1.5338879207278737E-2</c:v>
                </c:pt>
                <c:pt idx="1">
                  <c:v>9.9023125264244519E-2</c:v>
                </c:pt>
                <c:pt idx="2">
                  <c:v>0.93863450751711752</c:v>
                </c:pt>
                <c:pt idx="3">
                  <c:v>9.7388450161581715E-3</c:v>
                </c:pt>
                <c:pt idx="4">
                  <c:v>2.9312555546497237E-2</c:v>
                </c:pt>
                <c:pt idx="5">
                  <c:v>7.9952311148505109E-2</c:v>
                </c:pt>
                <c:pt idx="6">
                  <c:v>8.3112989506853682E-2</c:v>
                </c:pt>
                <c:pt idx="7">
                  <c:v>1.0789048604145899E-2</c:v>
                </c:pt>
                <c:pt idx="8">
                  <c:v>3.3295878073083371E-3</c:v>
                </c:pt>
                <c:pt idx="9">
                  <c:v>1.4931580543618117E-2</c:v>
                </c:pt>
                <c:pt idx="10">
                  <c:v>0.33655142062589499</c:v>
                </c:pt>
                <c:pt idx="11">
                  <c:v>1.5464735181699848E-2</c:v>
                </c:pt>
                <c:pt idx="12">
                  <c:v>2.789198810152578E-2</c:v>
                </c:pt>
                <c:pt idx="13">
                  <c:v>4.1824560447478232E-2</c:v>
                </c:pt>
                <c:pt idx="14">
                  <c:v>9.662822288535957E-3</c:v>
                </c:pt>
                <c:pt idx="15">
                  <c:v>6.0340635079971457E-2</c:v>
                </c:pt>
                <c:pt idx="16">
                  <c:v>2.0010857148423246E-2</c:v>
                </c:pt>
                <c:pt idx="17">
                  <c:v>0.53106448447959831</c:v>
                </c:pt>
                <c:pt idx="18">
                  <c:v>4.3229282921258149E-4</c:v>
                </c:pt>
                <c:pt idx="19">
                  <c:v>3.5904710885187707E-2</c:v>
                </c:pt>
                <c:pt idx="20">
                  <c:v>6.8813036860549074E-3</c:v>
                </c:pt>
                <c:pt idx="21">
                  <c:v>1.4246851035019867E-3</c:v>
                </c:pt>
                <c:pt idx="22">
                  <c:v>2.9028405603292094E-2</c:v>
                </c:pt>
                <c:pt idx="23">
                  <c:v>3.5593767247156682E-2</c:v>
                </c:pt>
                <c:pt idx="24">
                  <c:v>3.817309975762892E-3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73F-EB40-9344-038ED3EE2294}"/>
            </c:ext>
          </c:extLst>
        </c:ser>
        <c:ser>
          <c:idx val="8"/>
          <c:order val="8"/>
          <c:tx>
            <c:strRef>
              <c:f>'Impact assesment'!$O$5</c:f>
              <c:strCache>
                <c:ptCount val="1"/>
                <c:pt idx="0">
                  <c:v>Material losses</c:v>
                </c:pt>
              </c:strCache>
            </c:strRef>
          </c:tx>
          <c:spPr>
            <a:solidFill>
              <a:srgbClr val="6EA6CD"/>
            </a:solidFill>
            <a:ln>
              <a:noFill/>
            </a:ln>
            <a:effectLst/>
          </c:spPr>
          <c:invertIfNegative val="0"/>
          <c:val>
            <c:numRef>
              <c:f>'Impact assesment'!$O$6:$O$30</c:f>
              <c:numCache>
                <c:formatCode>0%</c:formatCode>
                <c:ptCount val="25"/>
                <c:pt idx="0">
                  <c:v>2.7736377599012565E-2</c:v>
                </c:pt>
                <c:pt idx="1">
                  <c:v>3.6056415338285908E-2</c:v>
                </c:pt>
                <c:pt idx="2">
                  <c:v>1.236955748399127E-4</c:v>
                </c:pt>
                <c:pt idx="3">
                  <c:v>3.9872941419148836E-2</c:v>
                </c:pt>
                <c:pt idx="4">
                  <c:v>7.3168343637653024E-2</c:v>
                </c:pt>
                <c:pt idx="5">
                  <c:v>0.10634640065683101</c:v>
                </c:pt>
                <c:pt idx="6">
                  <c:v>0.11053545129883353</c:v>
                </c:pt>
                <c:pt idx="7">
                  <c:v>1.4679873248516726E-2</c:v>
                </c:pt>
                <c:pt idx="8">
                  <c:v>1.0453573098576819E-2</c:v>
                </c:pt>
                <c:pt idx="9">
                  <c:v>5.7017735238325734E-2</c:v>
                </c:pt>
                <c:pt idx="10">
                  <c:v>1.4672942167571404E-2</c:v>
                </c:pt>
                <c:pt idx="11">
                  <c:v>2.4097179135673098E-2</c:v>
                </c:pt>
                <c:pt idx="12">
                  <c:v>0.11605933882892527</c:v>
                </c:pt>
                <c:pt idx="13">
                  <c:v>0.17482693186751144</c:v>
                </c:pt>
                <c:pt idx="14">
                  <c:v>3.9168713657191358E-2</c:v>
                </c:pt>
                <c:pt idx="15">
                  <c:v>4.3633099807864638E-2</c:v>
                </c:pt>
                <c:pt idx="16">
                  <c:v>4.563853793770295E-2</c:v>
                </c:pt>
                <c:pt idx="17">
                  <c:v>2.0225890429906995E-2</c:v>
                </c:pt>
                <c:pt idx="18">
                  <c:v>1.354534046803157E-3</c:v>
                </c:pt>
                <c:pt idx="19">
                  <c:v>1.2024730912913575E-2</c:v>
                </c:pt>
                <c:pt idx="20">
                  <c:v>5.8092638325863519E-2</c:v>
                </c:pt>
                <c:pt idx="21">
                  <c:v>5.9023159932641518E-2</c:v>
                </c:pt>
                <c:pt idx="22">
                  <c:v>4.4181694673848679E-2</c:v>
                </c:pt>
                <c:pt idx="23">
                  <c:v>2.7381143535943665E-2</c:v>
                </c:pt>
                <c:pt idx="24">
                  <c:v>3.8682758794589593E-2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3F-EB40-9344-038ED3EE2294}"/>
            </c:ext>
          </c:extLst>
        </c:ser>
        <c:ser>
          <c:idx val="9"/>
          <c:order val="9"/>
          <c:tx>
            <c:strRef>
              <c:f>'Impact assesment'!$P$5</c:f>
              <c:strCache>
                <c:ptCount val="1"/>
                <c:pt idx="0">
                  <c:v>Water evaporation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solidFill>
                <a:srgbClr val="4A7BB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E1-8246-9B5F-103332E454C4}"/>
              </c:ext>
            </c:extLst>
          </c:dPt>
          <c:val>
            <c:numRef>
              <c:f>'Impact assesment'!$P$6:$P$23</c:f>
              <c:numCache>
                <c:formatCode>0%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73F-EB40-9344-038ED3EE2294}"/>
            </c:ext>
          </c:extLst>
        </c:ser>
        <c:ser>
          <c:idx val="10"/>
          <c:order val="10"/>
          <c:tx>
            <c:strRef>
              <c:f>'Impact assesment'!$Q$5</c:f>
              <c:strCache>
                <c:ptCount val="1"/>
                <c:pt idx="0">
                  <c:v>Lithium carbonate</c:v>
                </c:pt>
              </c:strCache>
            </c:strRef>
          </c:tx>
          <c:spPr>
            <a:solidFill>
              <a:srgbClr val="364B9A"/>
            </a:solidFill>
            <a:ln>
              <a:noFill/>
            </a:ln>
            <a:effectLst/>
          </c:spPr>
          <c:invertIfNegative val="0"/>
          <c:val>
            <c:numRef>
              <c:f>'Impact assesment'!$Q$6:$Q$30</c:f>
              <c:numCache>
                <c:formatCode>0%</c:formatCode>
                <c:ptCount val="25"/>
                <c:pt idx="0">
                  <c:v>5.6105417650081341E-2</c:v>
                </c:pt>
                <c:pt idx="1">
                  <c:v>1.1188188215984633E-2</c:v>
                </c:pt>
                <c:pt idx="2">
                  <c:v>7.1362641887955948E-4</c:v>
                </c:pt>
                <c:pt idx="3">
                  <c:v>1.2288761914954769E-2</c:v>
                </c:pt>
                <c:pt idx="4">
                  <c:v>0.11154308301762245</c:v>
                </c:pt>
                <c:pt idx="5">
                  <c:v>6.8246010382783787E-2</c:v>
                </c:pt>
                <c:pt idx="6">
                  <c:v>7.006197915519774E-2</c:v>
                </c:pt>
                <c:pt idx="7">
                  <c:v>2.8508235532310085E-2</c:v>
                </c:pt>
                <c:pt idx="8">
                  <c:v>8.0680524077346265E-3</c:v>
                </c:pt>
                <c:pt idx="9">
                  <c:v>5.9024691388197041E-2</c:v>
                </c:pt>
                <c:pt idx="10">
                  <c:v>5.0435312141183082E-2</c:v>
                </c:pt>
                <c:pt idx="11">
                  <c:v>5.6650445230541135E-2</c:v>
                </c:pt>
                <c:pt idx="12">
                  <c:v>8.2639350751554916E-2</c:v>
                </c:pt>
                <c:pt idx="13">
                  <c:v>0.11922304672872805</c:v>
                </c:pt>
                <c:pt idx="14">
                  <c:v>3.4773799189309576E-2</c:v>
                </c:pt>
                <c:pt idx="15">
                  <c:v>0.13386434729612065</c:v>
                </c:pt>
                <c:pt idx="16">
                  <c:v>0.14259924184094497</c:v>
                </c:pt>
                <c:pt idx="17">
                  <c:v>3.1911810110859529E-2</c:v>
                </c:pt>
                <c:pt idx="18">
                  <c:v>1.3195708126722638E-3</c:v>
                </c:pt>
                <c:pt idx="19">
                  <c:v>5.6900948629191005E-2</c:v>
                </c:pt>
                <c:pt idx="20">
                  <c:v>0.20052868303298127</c:v>
                </c:pt>
                <c:pt idx="21">
                  <c:v>4.4906980861307766E-3</c:v>
                </c:pt>
                <c:pt idx="22">
                  <c:v>0.10265982157602502</c:v>
                </c:pt>
                <c:pt idx="23">
                  <c:v>3.3971058329950135E-2</c:v>
                </c:pt>
                <c:pt idx="24">
                  <c:v>6.8545496145220597E-2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73F-EB40-9344-038ED3EE2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100"/>
        <c:axId val="181397456"/>
        <c:axId val="181255696"/>
      </c:barChart>
      <c:catAx>
        <c:axId val="181397456"/>
        <c:scaling>
          <c:orientation val="maxMin"/>
        </c:scaling>
        <c:delete val="1"/>
        <c:axPos val="r"/>
        <c:majorTickMark val="out"/>
        <c:minorTickMark val="none"/>
        <c:tickLblPos val="nextTo"/>
        <c:crossAx val="181255696"/>
        <c:crosses val="max"/>
        <c:auto val="1"/>
        <c:lblAlgn val="ctr"/>
        <c:lblOffset val="100"/>
        <c:noMultiLvlLbl val="0"/>
      </c:catAx>
      <c:valAx>
        <c:axId val="18125569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39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543873260849037E-2"/>
          <c:y val="0.86149408459620935"/>
          <c:w val="0.93424913763276263"/>
          <c:h val="0.12343053851936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3.083260425780111E-2"/>
          <c:y val="9.7094240837696341E-2"/>
          <c:w val="0.9541762140843506"/>
          <c:h val="0.64854528319095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'Primary vs Secondary LFP'!$C$32:$C$33</c:f>
              <c:strCache>
                <c:ptCount val="2"/>
                <c:pt idx="0">
                  <c:v>Primary LFP production:</c:v>
                </c:pt>
                <c:pt idx="1">
                  <c:v>Hydrothermal process</c:v>
                </c:pt>
              </c:strCache>
            </c:strRef>
          </c:tx>
          <c:spPr>
            <a:solidFill>
              <a:srgbClr val="F67E4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FE4-C34A-AF67-3308F773D74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FE4-C34A-AF67-3308F773D74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FE4-C34A-AF67-3308F773D74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FE4-C34A-AF67-3308F773D7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FE4-C34A-AF67-3308F773D7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FE4-C34A-AF67-3308F773D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'Primary vs Secondary LFP'!$B$34:$B$41</c:f>
              <c:strCache>
                <c:ptCount val="8"/>
                <c:pt idx="0">
                  <c:v>AP</c:v>
                </c:pt>
                <c:pt idx="1">
                  <c:v>GWP</c:v>
                </c:pt>
                <c:pt idx="2">
                  <c:v>FETP</c:v>
                </c:pt>
                <c:pt idx="3">
                  <c:v>HTPcarc.</c:v>
                </c:pt>
                <c:pt idx="4">
                  <c:v>HTPnon-carc.</c:v>
                </c:pt>
                <c:pt idx="5">
                  <c:v>ADP</c:v>
                </c:pt>
                <c:pt idx="6">
                  <c:v>PMFP</c:v>
                </c:pt>
                <c:pt idx="7">
                  <c:v>WUP</c:v>
                </c:pt>
              </c:strCache>
            </c:strRef>
          </c:cat>
          <c:val>
            <c:numRef>
              <c:f>'Primary vs Secondary LFP'!$C$34:$C$41</c:f>
              <c:numCache>
                <c:formatCode>0%</c:formatCode>
                <c:ptCount val="8"/>
                <c:pt idx="0">
                  <c:v>9.5980670840365559E-2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0.10528403248985335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4-C34A-AF67-3308F773D740}"/>
            </c:ext>
          </c:extLst>
        </c:ser>
        <c:ser>
          <c:idx val="1"/>
          <c:order val="1"/>
          <c:tx>
            <c:strRef>
              <c:f>'Primary vs Secondary LFP'!$D$32:$D$33</c:f>
              <c:strCache>
                <c:ptCount val="2"/>
                <c:pt idx="0">
                  <c:v>Primary LFP production:</c:v>
                </c:pt>
                <c:pt idx="1">
                  <c:v>Solid state process</c:v>
                </c:pt>
              </c:strCache>
            </c:strRef>
          </c:tx>
          <c:spPr>
            <a:solidFill>
              <a:srgbClr val="FEDB8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FE4-C34A-AF67-3308F773D74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FE4-C34A-AF67-3308F773D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'Primary vs Secondary LFP'!$B$34:$B$41</c:f>
              <c:strCache>
                <c:ptCount val="8"/>
                <c:pt idx="0">
                  <c:v>AP</c:v>
                </c:pt>
                <c:pt idx="1">
                  <c:v>GWP</c:v>
                </c:pt>
                <c:pt idx="2">
                  <c:v>FETP</c:v>
                </c:pt>
                <c:pt idx="3">
                  <c:v>HTPcarc.</c:v>
                </c:pt>
                <c:pt idx="4">
                  <c:v>HTPnon-carc.</c:v>
                </c:pt>
                <c:pt idx="5">
                  <c:v>ADP</c:v>
                </c:pt>
                <c:pt idx="6">
                  <c:v>PMFP</c:v>
                </c:pt>
                <c:pt idx="7">
                  <c:v>WUP</c:v>
                </c:pt>
              </c:strCache>
            </c:strRef>
          </c:cat>
          <c:val>
            <c:numRef>
              <c:f>'Primary vs Secondary LFP'!$D$34:$D$41</c:f>
              <c:numCache>
                <c:formatCode>0%</c:formatCode>
                <c:ptCount val="8"/>
                <c:pt idx="0">
                  <c:v>1</c:v>
                </c:pt>
                <c:pt idx="1">
                  <c:v>0.65477857076609691</c:v>
                </c:pt>
                <c:pt idx="2">
                  <c:v>0.71576423026208136</c:v>
                </c:pt>
                <c:pt idx="3">
                  <c:v>0.80029777787440515</c:v>
                </c:pt>
                <c:pt idx="4">
                  <c:v>0.68418675848022636</c:v>
                </c:pt>
                <c:pt idx="5">
                  <c:v>0.76935274812955134</c:v>
                </c:pt>
                <c:pt idx="6">
                  <c:v>1</c:v>
                </c:pt>
                <c:pt idx="7">
                  <c:v>0.74013783781562847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4-C34A-AF67-3308F773D740}"/>
            </c:ext>
          </c:extLst>
        </c:ser>
        <c:ser>
          <c:idx val="2"/>
          <c:order val="2"/>
          <c:tx>
            <c:strRef>
              <c:f>'Primary vs Secondary LFP'!$E$32:$E$33</c:f>
              <c:strCache>
                <c:ptCount val="2"/>
                <c:pt idx="0">
                  <c:v>Direct recycling:</c:v>
                </c:pt>
                <c:pt idx="1">
                  <c:v>CAM recovery</c:v>
                </c:pt>
              </c:strCache>
            </c:strRef>
          </c:tx>
          <c:spPr>
            <a:solidFill>
              <a:srgbClr val="C2E4E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2FE4-C34A-AF67-3308F773D740}"/>
                </c:ext>
              </c:extLst>
            </c:dLbl>
            <c:dLbl>
              <c:idx val="6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2FE4-C34A-AF67-3308F773D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'Primary vs Secondary LFP'!$B$34:$B$41</c:f>
              <c:strCache>
                <c:ptCount val="8"/>
                <c:pt idx="0">
                  <c:v>AP</c:v>
                </c:pt>
                <c:pt idx="1">
                  <c:v>GWP</c:v>
                </c:pt>
                <c:pt idx="2">
                  <c:v>FETP</c:v>
                </c:pt>
                <c:pt idx="3">
                  <c:v>HTPcarc.</c:v>
                </c:pt>
                <c:pt idx="4">
                  <c:v>HTPnon-carc.</c:v>
                </c:pt>
                <c:pt idx="5">
                  <c:v>ADP</c:v>
                </c:pt>
                <c:pt idx="6">
                  <c:v>PMFP</c:v>
                </c:pt>
                <c:pt idx="7">
                  <c:v>WUP</c:v>
                </c:pt>
              </c:strCache>
            </c:strRef>
          </c:cat>
          <c:val>
            <c:numRef>
              <c:f>'Primary vs Secondary LFP'!$E$34:$E$41</c:f>
              <c:numCache>
                <c:formatCode>0%</c:formatCode>
                <c:ptCount val="8"/>
                <c:pt idx="0">
                  <c:v>1.1308772824898655E-2</c:v>
                </c:pt>
                <c:pt idx="1">
                  <c:v>0.57244867805382083</c:v>
                </c:pt>
                <c:pt idx="2">
                  <c:v>0.18650894175472746</c:v>
                </c:pt>
                <c:pt idx="3">
                  <c:v>0.12211098964217265</c:v>
                </c:pt>
                <c:pt idx="4">
                  <c:v>7.7054343605471989E-2</c:v>
                </c:pt>
                <c:pt idx="5">
                  <c:v>3.503342721496016E-2</c:v>
                </c:pt>
                <c:pt idx="6">
                  <c:v>1.0907641028534538E-2</c:v>
                </c:pt>
                <c:pt idx="7">
                  <c:v>0.10854478869205283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4-C34A-AF67-3308F773D740}"/>
            </c:ext>
          </c:extLst>
        </c:ser>
        <c:ser>
          <c:idx val="3"/>
          <c:order val="3"/>
          <c:tx>
            <c:strRef>
              <c:f>'Primary vs Secondary LFP'!$F$32:$F$33</c:f>
              <c:strCache>
                <c:ptCount val="2"/>
                <c:pt idx="0">
                  <c:v>Direct recycling:</c:v>
                </c:pt>
                <c:pt idx="1">
                  <c:v>Full recovery</c:v>
                </c:pt>
              </c:strCache>
            </c:strRef>
          </c:tx>
          <c:spPr>
            <a:solidFill>
              <a:srgbClr val="364B9A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2FE4-C34A-AF67-3308F773D740}"/>
                </c:ext>
              </c:extLst>
            </c:dLbl>
            <c:dLbl>
              <c:idx val="6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2FE4-C34A-AF67-3308F773D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'Primary vs Secondary LFP'!$B$34:$B$41</c:f>
              <c:strCache>
                <c:ptCount val="8"/>
                <c:pt idx="0">
                  <c:v>AP</c:v>
                </c:pt>
                <c:pt idx="1">
                  <c:v>GWP</c:v>
                </c:pt>
                <c:pt idx="2">
                  <c:v>FETP</c:v>
                </c:pt>
                <c:pt idx="3">
                  <c:v>HTPcarc.</c:v>
                </c:pt>
                <c:pt idx="4">
                  <c:v>HTPnon-carc.</c:v>
                </c:pt>
                <c:pt idx="5">
                  <c:v>ADP</c:v>
                </c:pt>
                <c:pt idx="6">
                  <c:v>PMFP</c:v>
                </c:pt>
                <c:pt idx="7">
                  <c:v>WUP</c:v>
                </c:pt>
              </c:strCache>
            </c:strRef>
          </c:cat>
          <c:val>
            <c:numRef>
              <c:f>'Primary vs Secondary LFP'!$F$34:$F$41</c:f>
              <c:numCache>
                <c:formatCode>0%</c:formatCode>
                <c:ptCount val="8"/>
                <c:pt idx="0">
                  <c:v>9.9314340999960664E-3</c:v>
                </c:pt>
                <c:pt idx="1">
                  <c:v>0.45132819053484841</c:v>
                </c:pt>
                <c:pt idx="2">
                  <c:v>6.5715443238673996E-2</c:v>
                </c:pt>
                <c:pt idx="3">
                  <c:v>9.3448640726568541E-2</c:v>
                </c:pt>
                <c:pt idx="4">
                  <c:v>5.9126454172773811E-2</c:v>
                </c:pt>
                <c:pt idx="5">
                  <c:v>2.9032608547441292E-2</c:v>
                </c:pt>
                <c:pt idx="6">
                  <c:v>8.3384021220847173E-3</c:v>
                </c:pt>
                <c:pt idx="7">
                  <c:v>9.7206764744145038E-2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E4-C34A-AF67-3308F773D74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559903"/>
        <c:axId val="56531103"/>
      </c:barChart>
      <c:catAx>
        <c:axId val="56559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103"/>
        <c:crosses val="autoZero"/>
        <c:auto val="1"/>
        <c:lblAlgn val="ctr"/>
        <c:lblOffset val="100"/>
        <c:noMultiLvlLbl val="0"/>
      </c:catAx>
      <c:valAx>
        <c:axId val="5653110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9903"/>
        <c:crosses val="autoZero"/>
        <c:crossBetween val="between"/>
        <c:majorUnit val="0.1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2.6708254518171153E-3"/>
          <c:y val="0.83777241537606606"/>
          <c:w val="0.99464813596976842"/>
          <c:h val="7.40097006450989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805056</xdr:colOff>
      <xdr:row>26</xdr:row>
      <xdr:rowOff>1</xdr:rowOff>
    </xdr:from>
    <xdr:to>
      <xdr:col>6</xdr:col>
      <xdr:colOff>108415</xdr:colOff>
      <xdr:row>28</xdr:row>
      <xdr:rowOff>92927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3508DB9-8B6F-D941-B16D-820CB8E7C34B}"/>
            </a:ext>
          </a:extLst>
        </xdr:cNvPr>
        <xdr:cNvSpPr/>
      </xdr:nvSpPr>
      <xdr:spPr>
        <a:xfrm>
          <a:off x="5631056" y="5397501"/>
          <a:ext cx="1271859" cy="727926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0</xdr:colOff>
      <xdr:row>8</xdr:row>
      <xdr:rowOff>101600</xdr:rowOff>
    </xdr:from>
    <xdr:to>
      <xdr:col>7</xdr:col>
      <xdr:colOff>38100</xdr:colOff>
      <xdr:row>11</xdr:row>
      <xdr:rowOff>63500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3C151AC-0681-5344-AE2D-25C884719A7D}"/>
            </a:ext>
          </a:extLst>
        </xdr:cNvPr>
        <xdr:cNvSpPr/>
      </xdr:nvSpPr>
      <xdr:spPr>
        <a:xfrm>
          <a:off x="6794500" y="1841500"/>
          <a:ext cx="1206500" cy="5715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0</xdr:colOff>
      <xdr:row>25</xdr:row>
      <xdr:rowOff>177800</xdr:rowOff>
    </xdr:from>
    <xdr:to>
      <xdr:col>4</xdr:col>
      <xdr:colOff>38100</xdr:colOff>
      <xdr:row>28</xdr:row>
      <xdr:rowOff>76200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A2C43E05-6702-5149-9B48-A6A7EA2705B1}"/>
            </a:ext>
          </a:extLst>
        </xdr:cNvPr>
        <xdr:cNvSpPr/>
      </xdr:nvSpPr>
      <xdr:spPr>
        <a:xfrm>
          <a:off x="2590800" y="5372100"/>
          <a:ext cx="2273300" cy="7366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0</xdr:colOff>
      <xdr:row>13</xdr:row>
      <xdr:rowOff>152400</xdr:rowOff>
    </xdr:from>
    <xdr:to>
      <xdr:col>2</xdr:col>
      <xdr:colOff>0</xdr:colOff>
      <xdr:row>16</xdr:row>
      <xdr:rowOff>76200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1651E94-1C51-3549-B292-3A30EA222834}"/>
            </a:ext>
          </a:extLst>
        </xdr:cNvPr>
        <xdr:cNvSpPr/>
      </xdr:nvSpPr>
      <xdr:spPr>
        <a:xfrm>
          <a:off x="1485900" y="2908300"/>
          <a:ext cx="1104900" cy="5334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1019408</xdr:colOff>
      <xdr:row>18</xdr:row>
      <xdr:rowOff>123902</xdr:rowOff>
    </xdr:from>
    <xdr:to>
      <xdr:col>6</xdr:col>
      <xdr:colOff>1099634</xdr:colOff>
      <xdr:row>21</xdr:row>
      <xdr:rowOff>123903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5C161E07-6E58-E144-9BAD-800340D5FCDD}"/>
            </a:ext>
          </a:extLst>
        </xdr:cNvPr>
        <xdr:cNvSpPr/>
      </xdr:nvSpPr>
      <xdr:spPr>
        <a:xfrm>
          <a:off x="6670908" y="3895802"/>
          <a:ext cx="1223226" cy="60960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0</xdr:colOff>
      <xdr:row>15</xdr:row>
      <xdr:rowOff>6350</xdr:rowOff>
    </xdr:from>
    <xdr:to>
      <xdr:col>2</xdr:col>
      <xdr:colOff>584200</xdr:colOff>
      <xdr:row>15</xdr:row>
      <xdr:rowOff>12700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94AFA647-4EA3-DB4C-921D-397DE642E174}"/>
            </a:ext>
          </a:extLst>
        </xdr:cNvPr>
        <xdr:cNvCxnSpPr>
          <a:stCxn id="5" idx="3"/>
          <a:endCxn id="8" idx="1"/>
        </xdr:cNvCxnSpPr>
      </xdr:nvCxnSpPr>
      <xdr:spPr>
        <a:xfrm flipV="1">
          <a:off x="2590800" y="3168650"/>
          <a:ext cx="584200" cy="635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584200</xdr:colOff>
      <xdr:row>13</xdr:row>
      <xdr:rowOff>25400</xdr:rowOff>
    </xdr:from>
    <xdr:to>
      <xdr:col>4</xdr:col>
      <xdr:colOff>266700</xdr:colOff>
      <xdr:row>16</xdr:row>
      <xdr:rowOff>190500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791BE583-1E30-CC4E-B7EE-455752CDBDE6}"/>
            </a:ext>
          </a:extLst>
        </xdr:cNvPr>
        <xdr:cNvSpPr/>
      </xdr:nvSpPr>
      <xdr:spPr>
        <a:xfrm>
          <a:off x="3175000" y="2781300"/>
          <a:ext cx="1917700" cy="774700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Teardown of</a:t>
          </a:r>
          <a:r>
            <a:rPr lang="en-GB" sz="1400" b="1" baseline="0"/>
            <a:t> cell</a:t>
          </a:r>
          <a:endParaRPr lang="en-GB" sz="1400" b="1"/>
        </a:p>
      </xdr:txBody>
    </xdr:sp>
    <xdr:clientData/>
  </xdr:twoCellAnchor>
  <xdr:twoCellAnchor>
    <xdr:from>
      <xdr:col>4</xdr:col>
      <xdr:colOff>266700</xdr:colOff>
      <xdr:row>9</xdr:row>
      <xdr:rowOff>184150</xdr:rowOff>
    </xdr:from>
    <xdr:to>
      <xdr:col>6</xdr:col>
      <xdr:colOff>0</xdr:colOff>
      <xdr:row>15</xdr:row>
      <xdr:rowOff>6350</xdr:rowOff>
    </xdr:to>
    <xdr:cxnSp macro="">
      <xdr:nvCxnSpPr>
        <xdr:cNvPr id="9" name="Straight Arrow Connector 15">
          <a:extLst>
            <a:ext uri="{FF2B5EF4-FFF2-40B4-BE49-F238E27FC236}">
              <a16:creationId xmlns:a16="http://schemas.microsoft.com/office/drawing/2014/main" id="{6BC9529F-3DE6-6146-9301-00CDC3CFBDAF}"/>
            </a:ext>
          </a:extLst>
        </xdr:cNvPr>
        <xdr:cNvCxnSpPr>
          <a:stCxn id="8" idx="3"/>
          <a:endCxn id="3" idx="1"/>
        </xdr:cNvCxnSpPr>
      </xdr:nvCxnSpPr>
      <xdr:spPr>
        <a:xfrm flipV="1">
          <a:off x="5092700" y="2127250"/>
          <a:ext cx="1701800" cy="10414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15</xdr:row>
      <xdr:rowOff>7280</xdr:rowOff>
    </xdr:from>
    <xdr:to>
      <xdr:col>5</xdr:col>
      <xdr:colOff>1019408</xdr:colOff>
      <xdr:row>20</xdr:row>
      <xdr:rowOff>23232</xdr:rowOff>
    </xdr:to>
    <xdr:cxnSp macro="">
      <xdr:nvCxnSpPr>
        <xdr:cNvPr id="10" name="Straight Arrow Connector 19">
          <a:extLst>
            <a:ext uri="{FF2B5EF4-FFF2-40B4-BE49-F238E27FC236}">
              <a16:creationId xmlns:a16="http://schemas.microsoft.com/office/drawing/2014/main" id="{600ED29D-4BED-4C41-B4E2-CE6802B5E603}"/>
            </a:ext>
          </a:extLst>
        </xdr:cNvPr>
        <xdr:cNvCxnSpPr>
          <a:stCxn id="8" idx="3"/>
          <a:endCxn id="6" idx="1"/>
        </xdr:cNvCxnSpPr>
      </xdr:nvCxnSpPr>
      <xdr:spPr>
        <a:xfrm>
          <a:off x="5092700" y="3169580"/>
          <a:ext cx="1578208" cy="1031952"/>
        </a:xfrm>
        <a:prstGeom prst="bentConnector3">
          <a:avLst>
            <a:gd name="adj1" fmla="val 53937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971550</xdr:colOff>
      <xdr:row>16</xdr:row>
      <xdr:rowOff>190500</xdr:rowOff>
    </xdr:from>
    <xdr:to>
      <xdr:col>3</xdr:col>
      <xdr:colOff>298450</xdr:colOff>
      <xdr:row>25</xdr:row>
      <xdr:rowOff>177800</xdr:rowOff>
    </xdr:to>
    <xdr:cxnSp macro="">
      <xdr:nvCxnSpPr>
        <xdr:cNvPr id="11" name="Straight Arrow Connector 26">
          <a:extLst>
            <a:ext uri="{FF2B5EF4-FFF2-40B4-BE49-F238E27FC236}">
              <a16:creationId xmlns:a16="http://schemas.microsoft.com/office/drawing/2014/main" id="{B881685F-B965-5441-8242-4EEC8B7E5AF9}"/>
            </a:ext>
          </a:extLst>
        </xdr:cNvPr>
        <xdr:cNvCxnSpPr>
          <a:stCxn id="8" idx="2"/>
          <a:endCxn id="4" idx="0"/>
        </xdr:cNvCxnSpPr>
      </xdr:nvCxnSpPr>
      <xdr:spPr>
        <a:xfrm rot="5400000">
          <a:off x="2857500" y="4260850"/>
          <a:ext cx="1816100" cy="4064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711200</xdr:colOff>
      <xdr:row>10</xdr:row>
      <xdr:rowOff>152400</xdr:rowOff>
    </xdr:from>
    <xdr:to>
      <xdr:col>10</xdr:col>
      <xdr:colOff>647700</xdr:colOff>
      <xdr:row>14</xdr:row>
      <xdr:rowOff>114300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A11CDFD4-93CC-244A-946E-BC303F31EA53}"/>
            </a:ext>
          </a:extLst>
        </xdr:cNvPr>
        <xdr:cNvSpPr/>
      </xdr:nvSpPr>
      <xdr:spPr>
        <a:xfrm>
          <a:off x="9499600" y="2298700"/>
          <a:ext cx="1587500" cy="774700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Cathode</a:t>
          </a:r>
          <a:r>
            <a:rPr lang="en-GB" sz="1400" b="1" baseline="0"/>
            <a:t> washing</a:t>
          </a:r>
          <a:endParaRPr lang="en-GB" sz="1400" b="1"/>
        </a:p>
      </xdr:txBody>
    </xdr:sp>
    <xdr:clientData/>
  </xdr:twoCellAnchor>
  <xdr:twoCellAnchor>
    <xdr:from>
      <xdr:col>7</xdr:col>
      <xdr:colOff>38100</xdr:colOff>
      <xdr:row>9</xdr:row>
      <xdr:rowOff>184150</xdr:rowOff>
    </xdr:from>
    <xdr:to>
      <xdr:col>8</xdr:col>
      <xdr:colOff>711200</xdr:colOff>
      <xdr:row>12</xdr:row>
      <xdr:rowOff>133350</xdr:rowOff>
    </xdr:to>
    <xdr:cxnSp macro="">
      <xdr:nvCxnSpPr>
        <xdr:cNvPr id="13" name="Straight Arrow Connector 15">
          <a:extLst>
            <a:ext uri="{FF2B5EF4-FFF2-40B4-BE49-F238E27FC236}">
              <a16:creationId xmlns:a16="http://schemas.microsoft.com/office/drawing/2014/main" id="{CA556610-69FB-6843-B39A-960710F3350F}"/>
            </a:ext>
          </a:extLst>
        </xdr:cNvPr>
        <xdr:cNvCxnSpPr>
          <a:stCxn id="3" idx="3"/>
          <a:endCxn id="12" idx="1"/>
        </xdr:cNvCxnSpPr>
      </xdr:nvCxnSpPr>
      <xdr:spPr>
        <a:xfrm>
          <a:off x="8001000" y="2127250"/>
          <a:ext cx="1498600" cy="5588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723900</xdr:colOff>
      <xdr:row>3</xdr:row>
      <xdr:rowOff>190500</xdr:rowOff>
    </xdr:from>
    <xdr:to>
      <xdr:col>10</xdr:col>
      <xdr:colOff>622300</xdr:colOff>
      <xdr:row>6</xdr:row>
      <xdr:rowOff>38100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723A6942-05C8-4F41-9A4F-7672B748F21B}"/>
            </a:ext>
          </a:extLst>
        </xdr:cNvPr>
        <xdr:cNvSpPr/>
      </xdr:nvSpPr>
      <xdr:spPr>
        <a:xfrm>
          <a:off x="9512300" y="876300"/>
          <a:ext cx="15494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673100</xdr:colOff>
      <xdr:row>6</xdr:row>
      <xdr:rowOff>38100</xdr:rowOff>
    </xdr:from>
    <xdr:to>
      <xdr:col>9</xdr:col>
      <xdr:colOff>679450</xdr:colOff>
      <xdr:row>10</xdr:row>
      <xdr:rowOff>152400</xdr:rowOff>
    </xdr:to>
    <xdr:cxnSp macro="">
      <xdr:nvCxnSpPr>
        <xdr:cNvPr id="15" name="Straight Arrow Connector 15">
          <a:extLst>
            <a:ext uri="{FF2B5EF4-FFF2-40B4-BE49-F238E27FC236}">
              <a16:creationId xmlns:a16="http://schemas.microsoft.com/office/drawing/2014/main" id="{CCEF76C9-298F-9943-96D4-FB88165FBFD7}"/>
            </a:ext>
          </a:extLst>
        </xdr:cNvPr>
        <xdr:cNvCxnSpPr>
          <a:stCxn id="14" idx="2"/>
          <a:endCxn id="12" idx="0"/>
        </xdr:cNvCxnSpPr>
      </xdr:nvCxnSpPr>
      <xdr:spPr>
        <a:xfrm rot="16200000" flipH="1">
          <a:off x="9826625" y="1831975"/>
          <a:ext cx="927100" cy="635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762000</xdr:colOff>
      <xdr:row>3</xdr:row>
      <xdr:rowOff>190500</xdr:rowOff>
    </xdr:from>
    <xdr:to>
      <xdr:col>12</xdr:col>
      <xdr:colOff>660400</xdr:colOff>
      <xdr:row>6</xdr:row>
      <xdr:rowOff>38100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8FE2DA3D-CA99-0B41-BB04-6F0C039DCE8B}"/>
            </a:ext>
          </a:extLst>
        </xdr:cNvPr>
        <xdr:cNvSpPr/>
      </xdr:nvSpPr>
      <xdr:spPr>
        <a:xfrm>
          <a:off x="11201400" y="876300"/>
          <a:ext cx="15494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723900</xdr:colOff>
      <xdr:row>10</xdr:row>
      <xdr:rowOff>152400</xdr:rowOff>
    </xdr:from>
    <xdr:to>
      <xdr:col>13</xdr:col>
      <xdr:colOff>355600</xdr:colOff>
      <xdr:row>13</xdr:row>
      <xdr:rowOff>38100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18678D26-7A93-314F-8BE1-5AFC2808A31E}"/>
            </a:ext>
          </a:extLst>
        </xdr:cNvPr>
        <xdr:cNvSpPr/>
      </xdr:nvSpPr>
      <xdr:spPr>
        <a:xfrm>
          <a:off x="11988800" y="2298700"/>
          <a:ext cx="12827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647700</xdr:colOff>
      <xdr:row>11</xdr:row>
      <xdr:rowOff>196850</xdr:rowOff>
    </xdr:from>
    <xdr:to>
      <xdr:col>11</xdr:col>
      <xdr:colOff>723900</xdr:colOff>
      <xdr:row>12</xdr:row>
      <xdr:rowOff>133350</xdr:rowOff>
    </xdr:to>
    <xdr:cxnSp macro="">
      <xdr:nvCxnSpPr>
        <xdr:cNvPr id="18" name="Straight Arrow Connector 15">
          <a:extLst>
            <a:ext uri="{FF2B5EF4-FFF2-40B4-BE49-F238E27FC236}">
              <a16:creationId xmlns:a16="http://schemas.microsoft.com/office/drawing/2014/main" id="{FB9173C2-DA55-2341-8FD3-47E4E8EBDD80}"/>
            </a:ext>
          </a:extLst>
        </xdr:cNvPr>
        <xdr:cNvCxnSpPr>
          <a:stCxn id="12" idx="3"/>
          <a:endCxn id="17" idx="1"/>
        </xdr:cNvCxnSpPr>
      </xdr:nvCxnSpPr>
      <xdr:spPr>
        <a:xfrm flipV="1">
          <a:off x="11087100" y="2546350"/>
          <a:ext cx="901700" cy="1397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679450</xdr:colOff>
      <xdr:row>6</xdr:row>
      <xdr:rowOff>38100</xdr:rowOff>
    </xdr:from>
    <xdr:to>
      <xdr:col>11</xdr:col>
      <xdr:colOff>711200</xdr:colOff>
      <xdr:row>10</xdr:row>
      <xdr:rowOff>152400</xdr:rowOff>
    </xdr:to>
    <xdr:cxnSp macro="">
      <xdr:nvCxnSpPr>
        <xdr:cNvPr id="19" name="Straight Arrow Connector 15">
          <a:extLst>
            <a:ext uri="{FF2B5EF4-FFF2-40B4-BE49-F238E27FC236}">
              <a16:creationId xmlns:a16="http://schemas.microsoft.com/office/drawing/2014/main" id="{A5F819A9-0690-B241-BF28-30F46CA4FD2C}"/>
            </a:ext>
          </a:extLst>
        </xdr:cNvPr>
        <xdr:cNvCxnSpPr>
          <a:stCxn id="12" idx="0"/>
          <a:endCxn id="16" idx="2"/>
        </xdr:cNvCxnSpPr>
      </xdr:nvCxnSpPr>
      <xdr:spPr>
        <a:xfrm rot="5400000" flipH="1" flipV="1">
          <a:off x="10671175" y="993775"/>
          <a:ext cx="927100" cy="168275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292100</xdr:colOff>
      <xdr:row>10</xdr:row>
      <xdr:rowOff>12700</xdr:rowOff>
    </xdr:from>
    <xdr:to>
      <xdr:col>16</xdr:col>
      <xdr:colOff>228600</xdr:colOff>
      <xdr:row>13</xdr:row>
      <xdr:rowOff>177800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4212C2C7-50B2-2542-90D4-4DB2E848B008}"/>
            </a:ext>
          </a:extLst>
        </xdr:cNvPr>
        <xdr:cNvSpPr/>
      </xdr:nvSpPr>
      <xdr:spPr>
        <a:xfrm>
          <a:off x="14033500" y="2159000"/>
          <a:ext cx="1587500" cy="774700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Separation of Al</a:t>
          </a:r>
          <a:r>
            <a:rPr lang="en-GB" sz="1400" b="1" baseline="0"/>
            <a:t> and black mass</a:t>
          </a:r>
          <a:endParaRPr lang="en-GB" sz="1400" b="1"/>
        </a:p>
      </xdr:txBody>
    </xdr:sp>
    <xdr:clientData/>
  </xdr:twoCellAnchor>
  <xdr:twoCellAnchor>
    <xdr:from>
      <xdr:col>13</xdr:col>
      <xdr:colOff>355600</xdr:colOff>
      <xdr:row>11</xdr:row>
      <xdr:rowOff>196850</xdr:rowOff>
    </xdr:from>
    <xdr:to>
      <xdr:col>14</xdr:col>
      <xdr:colOff>292100</xdr:colOff>
      <xdr:row>11</xdr:row>
      <xdr:rowOff>196850</xdr:rowOff>
    </xdr:to>
    <xdr:cxnSp macro="">
      <xdr:nvCxnSpPr>
        <xdr:cNvPr id="21" name="Straight Arrow Connector 15">
          <a:extLst>
            <a:ext uri="{FF2B5EF4-FFF2-40B4-BE49-F238E27FC236}">
              <a16:creationId xmlns:a16="http://schemas.microsoft.com/office/drawing/2014/main" id="{57C0E928-4D39-4547-9C8E-AC030FAB63BA}"/>
            </a:ext>
          </a:extLst>
        </xdr:cNvPr>
        <xdr:cNvCxnSpPr>
          <a:stCxn id="17" idx="3"/>
          <a:endCxn id="20" idx="1"/>
        </xdr:cNvCxnSpPr>
      </xdr:nvCxnSpPr>
      <xdr:spPr>
        <a:xfrm>
          <a:off x="13271500" y="2546350"/>
          <a:ext cx="762000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802888</xdr:colOff>
      <xdr:row>10</xdr:row>
      <xdr:rowOff>152400</xdr:rowOff>
    </xdr:from>
    <xdr:to>
      <xdr:col>18</xdr:col>
      <xdr:colOff>561588</xdr:colOff>
      <xdr:row>13</xdr:row>
      <xdr:rowOff>38100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1CF1058A-325F-9548-9FEF-25F1E0F6E6DE}"/>
            </a:ext>
          </a:extLst>
        </xdr:cNvPr>
        <xdr:cNvSpPr/>
      </xdr:nvSpPr>
      <xdr:spPr>
        <a:xfrm>
          <a:off x="16195288" y="2298700"/>
          <a:ext cx="14097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228600</xdr:colOff>
      <xdr:row>11</xdr:row>
      <xdr:rowOff>195920</xdr:rowOff>
    </xdr:from>
    <xdr:to>
      <xdr:col>16</xdr:col>
      <xdr:colOff>802888</xdr:colOff>
      <xdr:row>11</xdr:row>
      <xdr:rowOff>195920</xdr:rowOff>
    </xdr:to>
    <xdr:cxnSp macro="">
      <xdr:nvCxnSpPr>
        <xdr:cNvPr id="23" name="Straight Arrow Connector 15">
          <a:extLst>
            <a:ext uri="{FF2B5EF4-FFF2-40B4-BE49-F238E27FC236}">
              <a16:creationId xmlns:a16="http://schemas.microsoft.com/office/drawing/2014/main" id="{9EEFCEFF-F7C1-1040-AA39-81E5CC39A6EB}"/>
            </a:ext>
          </a:extLst>
        </xdr:cNvPr>
        <xdr:cNvCxnSpPr>
          <a:stCxn id="20" idx="3"/>
          <a:endCxn id="22" idx="1"/>
        </xdr:cNvCxnSpPr>
      </xdr:nvCxnSpPr>
      <xdr:spPr>
        <a:xfrm>
          <a:off x="15621000" y="2545420"/>
          <a:ext cx="574288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260350</xdr:colOff>
      <xdr:row>13</xdr:row>
      <xdr:rowOff>177800</xdr:rowOff>
    </xdr:from>
    <xdr:to>
      <xdr:col>16</xdr:col>
      <xdr:colOff>812800</xdr:colOff>
      <xdr:row>17</xdr:row>
      <xdr:rowOff>0</xdr:rowOff>
    </xdr:to>
    <xdr:cxnSp macro="">
      <xdr:nvCxnSpPr>
        <xdr:cNvPr id="24" name="Straight Arrow Connector 15">
          <a:extLst>
            <a:ext uri="{FF2B5EF4-FFF2-40B4-BE49-F238E27FC236}">
              <a16:creationId xmlns:a16="http://schemas.microsoft.com/office/drawing/2014/main" id="{71B5BFC8-4511-2B45-8671-0D2811CC99AD}"/>
            </a:ext>
          </a:extLst>
        </xdr:cNvPr>
        <xdr:cNvCxnSpPr>
          <a:stCxn id="20" idx="2"/>
          <a:endCxn id="25" idx="1"/>
        </xdr:cNvCxnSpPr>
      </xdr:nvCxnSpPr>
      <xdr:spPr>
        <a:xfrm rot="16200000" flipH="1">
          <a:off x="15198725" y="2562225"/>
          <a:ext cx="635000" cy="1377950"/>
        </a:xfrm>
        <a:prstGeom prst="bentConnector2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812800</xdr:colOff>
      <xdr:row>15</xdr:row>
      <xdr:rowOff>127000</xdr:rowOff>
    </xdr:from>
    <xdr:to>
      <xdr:col>19</xdr:col>
      <xdr:colOff>101600</xdr:colOff>
      <xdr:row>18</xdr:row>
      <xdr:rowOff>76200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13C0ED48-CCF2-ED4D-8965-7CF0E8648BBC}"/>
            </a:ext>
          </a:extLst>
        </xdr:cNvPr>
        <xdr:cNvSpPr/>
      </xdr:nvSpPr>
      <xdr:spPr>
        <a:xfrm>
          <a:off x="16205200" y="3289300"/>
          <a:ext cx="1765300" cy="5588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14</xdr:col>
      <xdr:colOff>800100</xdr:colOff>
      <xdr:row>3</xdr:row>
      <xdr:rowOff>165100</xdr:rowOff>
    </xdr:from>
    <xdr:to>
      <xdr:col>16</xdr:col>
      <xdr:colOff>736600</xdr:colOff>
      <xdr:row>6</xdr:row>
      <xdr:rowOff>12700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63C527C5-E88A-BE4F-9B8E-1BD8AE342F61}"/>
            </a:ext>
          </a:extLst>
        </xdr:cNvPr>
        <xdr:cNvSpPr/>
      </xdr:nvSpPr>
      <xdr:spPr>
        <a:xfrm>
          <a:off x="14541500" y="850900"/>
          <a:ext cx="15875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260350</xdr:colOff>
      <xdr:row>6</xdr:row>
      <xdr:rowOff>12700</xdr:rowOff>
    </xdr:from>
    <xdr:to>
      <xdr:col>15</xdr:col>
      <xdr:colOff>768350</xdr:colOff>
      <xdr:row>10</xdr:row>
      <xdr:rowOff>12700</xdr:rowOff>
    </xdr:to>
    <xdr:cxnSp macro="">
      <xdr:nvCxnSpPr>
        <xdr:cNvPr id="27" name="Straight Arrow Connector 15">
          <a:extLst>
            <a:ext uri="{FF2B5EF4-FFF2-40B4-BE49-F238E27FC236}">
              <a16:creationId xmlns:a16="http://schemas.microsoft.com/office/drawing/2014/main" id="{1055FE58-3CF1-064D-9927-AD4101501973}"/>
            </a:ext>
          </a:extLst>
        </xdr:cNvPr>
        <xdr:cNvCxnSpPr>
          <a:stCxn id="20" idx="0"/>
          <a:endCxn id="26" idx="2"/>
        </xdr:cNvCxnSpPr>
      </xdr:nvCxnSpPr>
      <xdr:spPr>
        <a:xfrm rot="5400000" flipH="1" flipV="1">
          <a:off x="14674850" y="1498600"/>
          <a:ext cx="812800" cy="5080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800100</xdr:colOff>
      <xdr:row>15</xdr:row>
      <xdr:rowOff>76200</xdr:rowOff>
    </xdr:from>
    <xdr:to>
      <xdr:col>21</xdr:col>
      <xdr:colOff>736600</xdr:colOff>
      <xdr:row>18</xdr:row>
      <xdr:rowOff>127000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03D8F843-4125-9343-BA3B-817458B44F18}"/>
            </a:ext>
          </a:extLst>
        </xdr:cNvPr>
        <xdr:cNvSpPr/>
      </xdr:nvSpPr>
      <xdr:spPr>
        <a:xfrm>
          <a:off x="18669000" y="3238500"/>
          <a:ext cx="1587500" cy="660400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Washing of Al foils</a:t>
          </a:r>
        </a:p>
      </xdr:txBody>
    </xdr:sp>
    <xdr:clientData/>
  </xdr:twoCellAnchor>
  <xdr:twoCellAnchor>
    <xdr:from>
      <xdr:col>19</xdr:col>
      <xdr:colOff>101600</xdr:colOff>
      <xdr:row>17</xdr:row>
      <xdr:rowOff>0</xdr:rowOff>
    </xdr:from>
    <xdr:to>
      <xdr:col>19</xdr:col>
      <xdr:colOff>800100</xdr:colOff>
      <xdr:row>17</xdr:row>
      <xdr:rowOff>0</xdr:rowOff>
    </xdr:to>
    <xdr:cxnSp macro="">
      <xdr:nvCxnSpPr>
        <xdr:cNvPr id="29" name="Straight Arrow Connector 15">
          <a:extLst>
            <a:ext uri="{FF2B5EF4-FFF2-40B4-BE49-F238E27FC236}">
              <a16:creationId xmlns:a16="http://schemas.microsoft.com/office/drawing/2014/main" id="{8A55F749-02AD-944F-ABFC-D27BC9A815D3}"/>
            </a:ext>
          </a:extLst>
        </xdr:cNvPr>
        <xdr:cNvCxnSpPr>
          <a:stCxn id="25" idx="3"/>
          <a:endCxn id="28" idx="1"/>
        </xdr:cNvCxnSpPr>
      </xdr:nvCxnSpPr>
      <xdr:spPr>
        <a:xfrm>
          <a:off x="17970500" y="3568700"/>
          <a:ext cx="698500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770363</xdr:colOff>
      <xdr:row>3</xdr:row>
      <xdr:rowOff>190500</xdr:rowOff>
    </xdr:from>
    <xdr:to>
      <xdr:col>21</xdr:col>
      <xdr:colOff>668763</xdr:colOff>
      <xdr:row>6</xdr:row>
      <xdr:rowOff>38100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id="{E6C883CA-673E-D543-9392-71B93C17D217}"/>
            </a:ext>
          </a:extLst>
        </xdr:cNvPr>
        <xdr:cNvSpPr/>
      </xdr:nvSpPr>
      <xdr:spPr>
        <a:xfrm>
          <a:off x="18639263" y="876300"/>
          <a:ext cx="15494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719563</xdr:colOff>
      <xdr:row>6</xdr:row>
      <xdr:rowOff>38099</xdr:rowOff>
    </xdr:from>
    <xdr:to>
      <xdr:col>20</xdr:col>
      <xdr:colOff>768350</xdr:colOff>
      <xdr:row>15</xdr:row>
      <xdr:rowOff>76199</xdr:rowOff>
    </xdr:to>
    <xdr:cxnSp macro="">
      <xdr:nvCxnSpPr>
        <xdr:cNvPr id="31" name="Straight Arrow Connector 15">
          <a:extLst>
            <a:ext uri="{FF2B5EF4-FFF2-40B4-BE49-F238E27FC236}">
              <a16:creationId xmlns:a16="http://schemas.microsoft.com/office/drawing/2014/main" id="{08CF97C6-A9D2-6C47-9959-3450152D36E4}"/>
            </a:ext>
          </a:extLst>
        </xdr:cNvPr>
        <xdr:cNvCxnSpPr>
          <a:stCxn id="30" idx="2"/>
          <a:endCxn id="28" idx="0"/>
        </xdr:cNvCxnSpPr>
      </xdr:nvCxnSpPr>
      <xdr:spPr>
        <a:xfrm rot="16200000" flipH="1">
          <a:off x="18504907" y="2280655"/>
          <a:ext cx="1866900" cy="48787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800100</xdr:colOff>
      <xdr:row>3</xdr:row>
      <xdr:rowOff>165100</xdr:rowOff>
    </xdr:from>
    <xdr:to>
      <xdr:col>23</xdr:col>
      <xdr:colOff>736600</xdr:colOff>
      <xdr:row>6</xdr:row>
      <xdr:rowOff>12700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id="{2A057277-78CE-9944-8C33-67BB363578BD}"/>
            </a:ext>
          </a:extLst>
        </xdr:cNvPr>
        <xdr:cNvSpPr/>
      </xdr:nvSpPr>
      <xdr:spPr>
        <a:xfrm>
          <a:off x="20320000" y="850900"/>
          <a:ext cx="15875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22</xdr:col>
      <xdr:colOff>718015</xdr:colOff>
      <xdr:row>15</xdr:row>
      <xdr:rowOff>129788</xdr:rowOff>
    </xdr:from>
    <xdr:to>
      <xdr:col>25</xdr:col>
      <xdr:colOff>6815</xdr:colOff>
      <xdr:row>18</xdr:row>
      <xdr:rowOff>78988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7E27E3C6-2472-AD45-BDE4-7838C6F63490}"/>
            </a:ext>
          </a:extLst>
        </xdr:cNvPr>
        <xdr:cNvSpPr/>
      </xdr:nvSpPr>
      <xdr:spPr>
        <a:xfrm>
          <a:off x="21063415" y="3292088"/>
          <a:ext cx="1765300" cy="5588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21</xdr:col>
      <xdr:colOff>736600</xdr:colOff>
      <xdr:row>17</xdr:row>
      <xdr:rowOff>930</xdr:rowOff>
    </xdr:from>
    <xdr:to>
      <xdr:col>22</xdr:col>
      <xdr:colOff>718015</xdr:colOff>
      <xdr:row>17</xdr:row>
      <xdr:rowOff>3718</xdr:rowOff>
    </xdr:to>
    <xdr:cxnSp macro="">
      <xdr:nvCxnSpPr>
        <xdr:cNvPr id="34" name="Straight Arrow Connector 15">
          <a:extLst>
            <a:ext uri="{FF2B5EF4-FFF2-40B4-BE49-F238E27FC236}">
              <a16:creationId xmlns:a16="http://schemas.microsoft.com/office/drawing/2014/main" id="{E63BF623-DCCD-954B-910F-BBA1C0BBCA8E}"/>
            </a:ext>
          </a:extLst>
        </xdr:cNvPr>
        <xdr:cNvCxnSpPr>
          <a:stCxn id="28" idx="3"/>
          <a:endCxn id="33" idx="1"/>
        </xdr:cNvCxnSpPr>
      </xdr:nvCxnSpPr>
      <xdr:spPr>
        <a:xfrm>
          <a:off x="20256500" y="3569630"/>
          <a:ext cx="806915" cy="2788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802888</xdr:colOff>
      <xdr:row>19</xdr:row>
      <xdr:rowOff>152400</xdr:rowOff>
    </xdr:from>
    <xdr:to>
      <xdr:col>24</xdr:col>
      <xdr:colOff>561588</xdr:colOff>
      <xdr:row>22</xdr:row>
      <xdr:rowOff>38100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id="{65AA5183-314C-2E48-AE09-6371FA4D54B6}"/>
            </a:ext>
          </a:extLst>
        </xdr:cNvPr>
        <xdr:cNvSpPr/>
      </xdr:nvSpPr>
      <xdr:spPr>
        <a:xfrm>
          <a:off x="21148288" y="4127500"/>
          <a:ext cx="14097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21</xdr:col>
      <xdr:colOff>736600</xdr:colOff>
      <xdr:row>17</xdr:row>
      <xdr:rowOff>930</xdr:rowOff>
    </xdr:from>
    <xdr:to>
      <xdr:col>22</xdr:col>
      <xdr:colOff>802888</xdr:colOff>
      <xdr:row>20</xdr:row>
      <xdr:rowOff>195921</xdr:rowOff>
    </xdr:to>
    <xdr:cxnSp macro="">
      <xdr:nvCxnSpPr>
        <xdr:cNvPr id="36" name="Straight Arrow Connector 15">
          <a:extLst>
            <a:ext uri="{FF2B5EF4-FFF2-40B4-BE49-F238E27FC236}">
              <a16:creationId xmlns:a16="http://schemas.microsoft.com/office/drawing/2014/main" id="{40BE4C69-ECDA-CD41-8592-1242F7FBA296}"/>
            </a:ext>
          </a:extLst>
        </xdr:cNvPr>
        <xdr:cNvCxnSpPr>
          <a:stCxn id="28" idx="3"/>
          <a:endCxn id="35" idx="1"/>
        </xdr:cNvCxnSpPr>
      </xdr:nvCxnSpPr>
      <xdr:spPr>
        <a:xfrm>
          <a:off x="20256500" y="3569630"/>
          <a:ext cx="891788" cy="804591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293804</xdr:colOff>
      <xdr:row>16</xdr:row>
      <xdr:rowOff>190499</xdr:rowOff>
    </xdr:from>
    <xdr:to>
      <xdr:col>5</xdr:col>
      <xdr:colOff>619358</xdr:colOff>
      <xdr:row>26</xdr:row>
      <xdr:rowOff>0</xdr:rowOff>
    </xdr:to>
    <xdr:cxnSp macro="">
      <xdr:nvCxnSpPr>
        <xdr:cNvPr id="37" name="Straight Arrow Connector 26">
          <a:extLst>
            <a:ext uri="{FF2B5EF4-FFF2-40B4-BE49-F238E27FC236}">
              <a16:creationId xmlns:a16="http://schemas.microsoft.com/office/drawing/2014/main" id="{5BF7DB6D-824B-6146-9815-B3002DB7AB71}"/>
            </a:ext>
          </a:extLst>
        </xdr:cNvPr>
        <xdr:cNvCxnSpPr>
          <a:stCxn id="8" idx="2"/>
          <a:endCxn id="2" idx="0"/>
        </xdr:cNvCxnSpPr>
      </xdr:nvCxnSpPr>
      <xdr:spPr>
        <a:xfrm rot="16200000" flipH="1">
          <a:off x="4196730" y="3323373"/>
          <a:ext cx="1841501" cy="2306754"/>
        </a:xfrm>
        <a:prstGeom prst="bentConnector3">
          <a:avLst>
            <a:gd name="adj1" fmla="val 4915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718634</xdr:colOff>
      <xdr:row>18</xdr:row>
      <xdr:rowOff>37480</xdr:rowOff>
    </xdr:from>
    <xdr:to>
      <xdr:col>10</xdr:col>
      <xdr:colOff>655134</xdr:colOff>
      <xdr:row>21</xdr:row>
      <xdr:rowOff>200722</xdr:rowOff>
    </xdr:to>
    <xdr:sp macro="" textlink="">
      <xdr:nvSpPr>
        <xdr:cNvPr id="38" name="Rectangle 37">
          <a:extLst>
            <a:ext uri="{FF2B5EF4-FFF2-40B4-BE49-F238E27FC236}">
              <a16:creationId xmlns:a16="http://schemas.microsoft.com/office/drawing/2014/main" id="{FFB08AF5-8382-0F45-BE4B-2DA38D0AD730}"/>
            </a:ext>
          </a:extLst>
        </xdr:cNvPr>
        <xdr:cNvSpPr/>
      </xdr:nvSpPr>
      <xdr:spPr>
        <a:xfrm>
          <a:off x="9507034" y="3809380"/>
          <a:ext cx="1587500" cy="772842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Anode</a:t>
          </a:r>
          <a:r>
            <a:rPr lang="en-GB" sz="1400" b="1" baseline="0"/>
            <a:t> washing</a:t>
          </a:r>
          <a:endParaRPr lang="en-GB" sz="1400" b="1"/>
        </a:p>
      </xdr:txBody>
    </xdr:sp>
    <xdr:clientData/>
  </xdr:twoCellAnchor>
  <xdr:twoCellAnchor>
    <xdr:from>
      <xdr:col>6</xdr:col>
      <xdr:colOff>1099634</xdr:colOff>
      <xdr:row>20</xdr:row>
      <xdr:rowOff>18430</xdr:rowOff>
    </xdr:from>
    <xdr:to>
      <xdr:col>8</xdr:col>
      <xdr:colOff>718634</xdr:colOff>
      <xdr:row>20</xdr:row>
      <xdr:rowOff>23232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E18CB60F-25DE-F149-ADBA-560FA353E88E}"/>
            </a:ext>
          </a:extLst>
        </xdr:cNvPr>
        <xdr:cNvCxnSpPr>
          <a:stCxn id="6" idx="3"/>
          <a:endCxn id="38" idx="1"/>
        </xdr:cNvCxnSpPr>
      </xdr:nvCxnSpPr>
      <xdr:spPr>
        <a:xfrm flipV="1">
          <a:off x="7894134" y="4196730"/>
          <a:ext cx="1612900" cy="480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723900</xdr:colOff>
      <xdr:row>26</xdr:row>
      <xdr:rowOff>123903</xdr:rowOff>
    </xdr:from>
    <xdr:to>
      <xdr:col>10</xdr:col>
      <xdr:colOff>650488</xdr:colOff>
      <xdr:row>28</xdr:row>
      <xdr:rowOff>108415</xdr:rowOff>
    </xdr:to>
    <xdr:sp macro="" textlink="">
      <xdr:nvSpPr>
        <xdr:cNvPr id="40" name="Rectangle 39">
          <a:extLst>
            <a:ext uri="{FF2B5EF4-FFF2-40B4-BE49-F238E27FC236}">
              <a16:creationId xmlns:a16="http://schemas.microsoft.com/office/drawing/2014/main" id="{0118D56D-D98E-B847-958A-88839E255135}"/>
            </a:ext>
          </a:extLst>
        </xdr:cNvPr>
        <xdr:cNvSpPr/>
      </xdr:nvSpPr>
      <xdr:spPr>
        <a:xfrm>
          <a:off x="9512300" y="5521403"/>
          <a:ext cx="1577588" cy="619512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686884</xdr:colOff>
      <xdr:row>21</xdr:row>
      <xdr:rowOff>200722</xdr:rowOff>
    </xdr:from>
    <xdr:to>
      <xdr:col>9</xdr:col>
      <xdr:colOff>687194</xdr:colOff>
      <xdr:row>26</xdr:row>
      <xdr:rowOff>123903</xdr:rowOff>
    </xdr:to>
    <xdr:cxnSp macro="">
      <xdr:nvCxnSpPr>
        <xdr:cNvPr id="41" name="Straight Arrow Connector 40">
          <a:extLst>
            <a:ext uri="{FF2B5EF4-FFF2-40B4-BE49-F238E27FC236}">
              <a16:creationId xmlns:a16="http://schemas.microsoft.com/office/drawing/2014/main" id="{95312B63-D05E-074B-8991-5752C1D926A3}"/>
            </a:ext>
          </a:extLst>
        </xdr:cNvPr>
        <xdr:cNvCxnSpPr>
          <a:stCxn id="40" idx="0"/>
          <a:endCxn id="38" idx="2"/>
        </xdr:cNvCxnSpPr>
      </xdr:nvCxnSpPr>
      <xdr:spPr>
        <a:xfrm flipH="1" flipV="1">
          <a:off x="10300784" y="4582222"/>
          <a:ext cx="310" cy="939181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758903</xdr:colOff>
      <xdr:row>18</xdr:row>
      <xdr:rowOff>123902</xdr:rowOff>
    </xdr:from>
    <xdr:to>
      <xdr:col>13</xdr:col>
      <xdr:colOff>340732</xdr:colOff>
      <xdr:row>21</xdr:row>
      <xdr:rowOff>123903</xdr:rowOff>
    </xdr:to>
    <xdr:sp macro="" textlink="">
      <xdr:nvSpPr>
        <xdr:cNvPr id="42" name="Rectangle 41">
          <a:extLst>
            <a:ext uri="{FF2B5EF4-FFF2-40B4-BE49-F238E27FC236}">
              <a16:creationId xmlns:a16="http://schemas.microsoft.com/office/drawing/2014/main" id="{7F57EE12-0F72-9948-AEDF-CA8A804ED1E2}"/>
            </a:ext>
          </a:extLst>
        </xdr:cNvPr>
        <xdr:cNvSpPr/>
      </xdr:nvSpPr>
      <xdr:spPr>
        <a:xfrm>
          <a:off x="12023803" y="3895802"/>
          <a:ext cx="1232829" cy="60960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655134</xdr:colOff>
      <xdr:row>20</xdr:row>
      <xdr:rowOff>18430</xdr:rowOff>
    </xdr:from>
    <xdr:to>
      <xdr:col>11</xdr:col>
      <xdr:colOff>758903</xdr:colOff>
      <xdr:row>20</xdr:row>
      <xdr:rowOff>23232</xdr:rowOff>
    </xdr:to>
    <xdr:cxnSp macro="">
      <xdr:nvCxnSpPr>
        <xdr:cNvPr id="43" name="Straight Arrow Connector 42">
          <a:extLst>
            <a:ext uri="{FF2B5EF4-FFF2-40B4-BE49-F238E27FC236}">
              <a16:creationId xmlns:a16="http://schemas.microsoft.com/office/drawing/2014/main" id="{DC22CCE7-0A03-8046-A80D-45F72A1127E5}"/>
            </a:ext>
          </a:extLst>
        </xdr:cNvPr>
        <xdr:cNvCxnSpPr>
          <a:stCxn id="38" idx="3"/>
          <a:endCxn id="42" idx="1"/>
        </xdr:cNvCxnSpPr>
      </xdr:nvCxnSpPr>
      <xdr:spPr>
        <a:xfrm>
          <a:off x="11094534" y="4196730"/>
          <a:ext cx="929269" cy="480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707570</xdr:colOff>
      <xdr:row>10</xdr:row>
      <xdr:rowOff>72571</xdr:rowOff>
    </xdr:from>
    <xdr:to>
      <xdr:col>27</xdr:col>
      <xdr:colOff>644071</xdr:colOff>
      <xdr:row>13</xdr:row>
      <xdr:rowOff>123372</xdr:rowOff>
    </xdr:to>
    <xdr:sp macro="" textlink="">
      <xdr:nvSpPr>
        <xdr:cNvPr id="44" name="Rectangle 43">
          <a:extLst>
            <a:ext uri="{FF2B5EF4-FFF2-40B4-BE49-F238E27FC236}">
              <a16:creationId xmlns:a16="http://schemas.microsoft.com/office/drawing/2014/main" id="{7A884DC4-2F48-C94D-87D1-F21322883487}"/>
            </a:ext>
          </a:extLst>
        </xdr:cNvPr>
        <xdr:cNvSpPr/>
      </xdr:nvSpPr>
      <xdr:spPr>
        <a:xfrm>
          <a:off x="23529470" y="2218871"/>
          <a:ext cx="1587501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Filtering</a:t>
          </a:r>
        </a:p>
      </xdr:txBody>
    </xdr:sp>
    <xdr:clientData/>
  </xdr:twoCellAnchor>
  <xdr:twoCellAnchor>
    <xdr:from>
      <xdr:col>18</xdr:col>
      <xdr:colOff>561588</xdr:colOff>
      <xdr:row>11</xdr:row>
      <xdr:rowOff>195035</xdr:rowOff>
    </xdr:from>
    <xdr:to>
      <xdr:col>25</xdr:col>
      <xdr:colOff>707570</xdr:colOff>
      <xdr:row>11</xdr:row>
      <xdr:rowOff>197757</xdr:rowOff>
    </xdr:to>
    <xdr:cxnSp macro="">
      <xdr:nvCxnSpPr>
        <xdr:cNvPr id="45" name="Straight Arrow Connector 15">
          <a:extLst>
            <a:ext uri="{FF2B5EF4-FFF2-40B4-BE49-F238E27FC236}">
              <a16:creationId xmlns:a16="http://schemas.microsoft.com/office/drawing/2014/main" id="{B604032E-EAE8-DB4F-994F-BDF951155C3F}"/>
            </a:ext>
          </a:extLst>
        </xdr:cNvPr>
        <xdr:cNvCxnSpPr>
          <a:stCxn id="22" idx="3"/>
          <a:endCxn id="44" idx="1"/>
        </xdr:cNvCxnSpPr>
      </xdr:nvCxnSpPr>
      <xdr:spPr>
        <a:xfrm>
          <a:off x="17604988" y="2544535"/>
          <a:ext cx="5924482" cy="272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561588</xdr:colOff>
      <xdr:row>13</xdr:row>
      <xdr:rowOff>123372</xdr:rowOff>
    </xdr:from>
    <xdr:to>
      <xdr:col>26</xdr:col>
      <xdr:colOff>675821</xdr:colOff>
      <xdr:row>20</xdr:row>
      <xdr:rowOff>195036</xdr:rowOff>
    </xdr:to>
    <xdr:cxnSp macro="">
      <xdr:nvCxnSpPr>
        <xdr:cNvPr id="46" name="Straight Arrow Connector 15">
          <a:extLst>
            <a:ext uri="{FF2B5EF4-FFF2-40B4-BE49-F238E27FC236}">
              <a16:creationId xmlns:a16="http://schemas.microsoft.com/office/drawing/2014/main" id="{1E7680AD-6953-1840-A20A-8505717157EE}"/>
            </a:ext>
          </a:extLst>
        </xdr:cNvPr>
        <xdr:cNvCxnSpPr>
          <a:stCxn id="35" idx="3"/>
          <a:endCxn id="44" idx="2"/>
        </xdr:cNvCxnSpPr>
      </xdr:nvCxnSpPr>
      <xdr:spPr>
        <a:xfrm flipV="1">
          <a:off x="22557988" y="2879272"/>
          <a:ext cx="1765233" cy="1494064"/>
        </a:xfrm>
        <a:prstGeom prst="bentConnector2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709385</xdr:colOff>
      <xdr:row>3</xdr:row>
      <xdr:rowOff>193419</xdr:rowOff>
    </xdr:from>
    <xdr:to>
      <xdr:col>27</xdr:col>
      <xdr:colOff>645886</xdr:colOff>
      <xdr:row>6</xdr:row>
      <xdr:rowOff>41019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58C6D409-C308-694C-B91B-DB063F152750}"/>
            </a:ext>
          </a:extLst>
        </xdr:cNvPr>
        <xdr:cNvSpPr/>
      </xdr:nvSpPr>
      <xdr:spPr>
        <a:xfrm>
          <a:off x="23531285" y="879219"/>
          <a:ext cx="1587501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26</xdr:col>
      <xdr:colOff>675821</xdr:colOff>
      <xdr:row>6</xdr:row>
      <xdr:rowOff>41019</xdr:rowOff>
    </xdr:from>
    <xdr:to>
      <xdr:col>26</xdr:col>
      <xdr:colOff>677636</xdr:colOff>
      <xdr:row>10</xdr:row>
      <xdr:rowOff>72571</xdr:rowOff>
    </xdr:to>
    <xdr:cxnSp macro="">
      <xdr:nvCxnSpPr>
        <xdr:cNvPr id="48" name="Straight Arrow Connector 15">
          <a:extLst>
            <a:ext uri="{FF2B5EF4-FFF2-40B4-BE49-F238E27FC236}">
              <a16:creationId xmlns:a16="http://schemas.microsoft.com/office/drawing/2014/main" id="{94DB7F5B-E518-414A-AD4C-EDED9ED3555B}"/>
            </a:ext>
          </a:extLst>
        </xdr:cNvPr>
        <xdr:cNvCxnSpPr>
          <a:stCxn id="47" idx="2"/>
          <a:endCxn id="44" idx="0"/>
        </xdr:cNvCxnSpPr>
      </xdr:nvCxnSpPr>
      <xdr:spPr>
        <a:xfrm flipH="1">
          <a:off x="24323221" y="1374519"/>
          <a:ext cx="1815" cy="84435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716644</xdr:colOff>
      <xdr:row>26</xdr:row>
      <xdr:rowOff>382105</xdr:rowOff>
    </xdr:from>
    <xdr:to>
      <xdr:col>29</xdr:col>
      <xdr:colOff>653144</xdr:colOff>
      <xdr:row>29</xdr:row>
      <xdr:rowOff>48276</xdr:rowOff>
    </xdr:to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id="{2D790F99-FA86-8A44-8CDF-3918EFECD6D8}"/>
            </a:ext>
          </a:extLst>
        </xdr:cNvPr>
        <xdr:cNvSpPr/>
      </xdr:nvSpPr>
      <xdr:spPr>
        <a:xfrm>
          <a:off x="25189544" y="5779605"/>
          <a:ext cx="1587500" cy="50437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28</xdr:col>
      <xdr:colOff>783935</xdr:colOff>
      <xdr:row>10</xdr:row>
      <xdr:rowOff>152400</xdr:rowOff>
    </xdr:from>
    <xdr:to>
      <xdr:col>30</xdr:col>
      <xdr:colOff>542635</xdr:colOff>
      <xdr:row>13</xdr:row>
      <xdr:rowOff>38100</xdr:rowOff>
    </xdr:to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id="{78AB587E-88F2-4E4C-A689-04C956FDF671}"/>
            </a:ext>
          </a:extLst>
        </xdr:cNvPr>
        <xdr:cNvSpPr/>
      </xdr:nvSpPr>
      <xdr:spPr>
        <a:xfrm>
          <a:off x="26082335" y="2298700"/>
          <a:ext cx="14097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26</xdr:col>
      <xdr:colOff>675821</xdr:colOff>
      <xdr:row>13</xdr:row>
      <xdr:rowOff>123372</xdr:rowOff>
    </xdr:from>
    <xdr:to>
      <xdr:col>28</xdr:col>
      <xdr:colOff>684894</xdr:colOff>
      <xdr:row>26</xdr:row>
      <xdr:rowOff>382105</xdr:rowOff>
    </xdr:to>
    <xdr:cxnSp macro="">
      <xdr:nvCxnSpPr>
        <xdr:cNvPr id="51" name="Straight Arrow Connector 15">
          <a:extLst>
            <a:ext uri="{FF2B5EF4-FFF2-40B4-BE49-F238E27FC236}">
              <a16:creationId xmlns:a16="http://schemas.microsoft.com/office/drawing/2014/main" id="{4FEC3F62-2B5D-AC4B-8D6A-1C7FE9020537}"/>
            </a:ext>
          </a:extLst>
        </xdr:cNvPr>
        <xdr:cNvCxnSpPr>
          <a:stCxn id="44" idx="2"/>
          <a:endCxn id="49" idx="0"/>
        </xdr:cNvCxnSpPr>
      </xdr:nvCxnSpPr>
      <xdr:spPr>
        <a:xfrm rot="16200000" flipH="1">
          <a:off x="23703091" y="3499402"/>
          <a:ext cx="2900333" cy="1660073"/>
        </a:xfrm>
        <a:prstGeom prst="bentConnector3">
          <a:avLst>
            <a:gd name="adj1" fmla="val 51915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644071</xdr:colOff>
      <xdr:row>11</xdr:row>
      <xdr:rowOff>199504</xdr:rowOff>
    </xdr:from>
    <xdr:to>
      <xdr:col>28</xdr:col>
      <xdr:colOff>783935</xdr:colOff>
      <xdr:row>11</xdr:row>
      <xdr:rowOff>202226</xdr:rowOff>
    </xdr:to>
    <xdr:cxnSp macro="">
      <xdr:nvCxnSpPr>
        <xdr:cNvPr id="52" name="Straight Arrow Connector 15">
          <a:extLst>
            <a:ext uri="{FF2B5EF4-FFF2-40B4-BE49-F238E27FC236}">
              <a16:creationId xmlns:a16="http://schemas.microsoft.com/office/drawing/2014/main" id="{16A29AD1-753F-284B-BA83-F9DE707F8ACE}"/>
            </a:ext>
          </a:extLst>
        </xdr:cNvPr>
        <xdr:cNvCxnSpPr>
          <a:stCxn id="44" idx="3"/>
          <a:endCxn id="50" idx="1"/>
        </xdr:cNvCxnSpPr>
      </xdr:nvCxnSpPr>
      <xdr:spPr>
        <a:xfrm flipV="1">
          <a:off x="25116971" y="2549004"/>
          <a:ext cx="965364" cy="272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751114</xdr:colOff>
      <xdr:row>10</xdr:row>
      <xdr:rowOff>61685</xdr:rowOff>
    </xdr:from>
    <xdr:to>
      <xdr:col>33</xdr:col>
      <xdr:colOff>687614</xdr:colOff>
      <xdr:row>13</xdr:row>
      <xdr:rowOff>112486</xdr:rowOff>
    </xdr:to>
    <xdr:sp macro="" textlink="">
      <xdr:nvSpPr>
        <xdr:cNvPr id="53" name="Rectangle 52">
          <a:extLst>
            <a:ext uri="{FF2B5EF4-FFF2-40B4-BE49-F238E27FC236}">
              <a16:creationId xmlns:a16="http://schemas.microsoft.com/office/drawing/2014/main" id="{34C12F78-7DD3-C04F-990F-74953CDEE12D}"/>
            </a:ext>
          </a:extLst>
        </xdr:cNvPr>
        <xdr:cNvSpPr/>
      </xdr:nvSpPr>
      <xdr:spPr>
        <a:xfrm>
          <a:off x="28589514" y="2207985"/>
          <a:ext cx="1587500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Drying</a:t>
          </a:r>
        </a:p>
      </xdr:txBody>
    </xdr:sp>
    <xdr:clientData/>
  </xdr:twoCellAnchor>
  <xdr:twoCellAnchor>
    <xdr:from>
      <xdr:col>30</xdr:col>
      <xdr:colOff>542635</xdr:colOff>
      <xdr:row>11</xdr:row>
      <xdr:rowOff>191340</xdr:rowOff>
    </xdr:from>
    <xdr:to>
      <xdr:col>31</xdr:col>
      <xdr:colOff>751114</xdr:colOff>
      <xdr:row>11</xdr:row>
      <xdr:rowOff>199504</xdr:rowOff>
    </xdr:to>
    <xdr:cxnSp macro="">
      <xdr:nvCxnSpPr>
        <xdr:cNvPr id="54" name="Straight Arrow Connector 15">
          <a:extLst>
            <a:ext uri="{FF2B5EF4-FFF2-40B4-BE49-F238E27FC236}">
              <a16:creationId xmlns:a16="http://schemas.microsoft.com/office/drawing/2014/main" id="{2A6514B6-193F-B147-9EFD-CE12B6CB461F}"/>
            </a:ext>
          </a:extLst>
        </xdr:cNvPr>
        <xdr:cNvCxnSpPr>
          <a:stCxn id="50" idx="3"/>
          <a:endCxn id="53" idx="1"/>
        </xdr:cNvCxnSpPr>
      </xdr:nvCxnSpPr>
      <xdr:spPr>
        <a:xfrm flipV="1">
          <a:off x="27492035" y="2540840"/>
          <a:ext cx="1097479" cy="8164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709385</xdr:colOff>
      <xdr:row>3</xdr:row>
      <xdr:rowOff>163285</xdr:rowOff>
    </xdr:from>
    <xdr:to>
      <xdr:col>33</xdr:col>
      <xdr:colOff>725714</xdr:colOff>
      <xdr:row>6</xdr:row>
      <xdr:rowOff>54429</xdr:rowOff>
    </xdr:to>
    <xdr:sp macro="" textlink="">
      <xdr:nvSpPr>
        <xdr:cNvPr id="55" name="Rectangle 54">
          <a:extLst>
            <a:ext uri="{FF2B5EF4-FFF2-40B4-BE49-F238E27FC236}">
              <a16:creationId xmlns:a16="http://schemas.microsoft.com/office/drawing/2014/main" id="{3F8A082E-E422-2B47-BD78-AEFDD5D6FC47}"/>
            </a:ext>
          </a:extLst>
        </xdr:cNvPr>
        <xdr:cNvSpPr/>
      </xdr:nvSpPr>
      <xdr:spPr>
        <a:xfrm>
          <a:off x="28547785" y="849085"/>
          <a:ext cx="1667329" cy="538844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32</xdr:col>
      <xdr:colOff>717549</xdr:colOff>
      <xdr:row>6</xdr:row>
      <xdr:rowOff>54429</xdr:rowOff>
    </xdr:from>
    <xdr:to>
      <xdr:col>32</xdr:col>
      <xdr:colOff>719364</xdr:colOff>
      <xdr:row>10</xdr:row>
      <xdr:rowOff>61685</xdr:rowOff>
    </xdr:to>
    <xdr:cxnSp macro="">
      <xdr:nvCxnSpPr>
        <xdr:cNvPr id="56" name="Straight Arrow Connector 15">
          <a:extLst>
            <a:ext uri="{FF2B5EF4-FFF2-40B4-BE49-F238E27FC236}">
              <a16:creationId xmlns:a16="http://schemas.microsoft.com/office/drawing/2014/main" id="{FDF27E13-3205-5445-ACFB-C85CFD98AC9D}"/>
            </a:ext>
          </a:extLst>
        </xdr:cNvPr>
        <xdr:cNvCxnSpPr>
          <a:stCxn id="55" idx="2"/>
          <a:endCxn id="53" idx="0"/>
        </xdr:cNvCxnSpPr>
      </xdr:nvCxnSpPr>
      <xdr:spPr>
        <a:xfrm>
          <a:off x="29381449" y="1387929"/>
          <a:ext cx="1815" cy="820056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716644</xdr:colOff>
      <xdr:row>26</xdr:row>
      <xdr:rowOff>382105</xdr:rowOff>
    </xdr:from>
    <xdr:to>
      <xdr:col>33</xdr:col>
      <xdr:colOff>720298</xdr:colOff>
      <xdr:row>29</xdr:row>
      <xdr:rowOff>48276</xdr:rowOff>
    </xdr:to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id="{00626D2B-C6F3-7844-93C0-E92D2B4A37BD}"/>
            </a:ext>
          </a:extLst>
        </xdr:cNvPr>
        <xdr:cNvSpPr/>
      </xdr:nvSpPr>
      <xdr:spPr>
        <a:xfrm>
          <a:off x="28555044" y="5779605"/>
          <a:ext cx="1654654" cy="50437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34</xdr:col>
      <xdr:colOff>802888</xdr:colOff>
      <xdr:row>10</xdr:row>
      <xdr:rowOff>127000</xdr:rowOff>
    </xdr:from>
    <xdr:to>
      <xdr:col>36</xdr:col>
      <xdr:colOff>561588</xdr:colOff>
      <xdr:row>13</xdr:row>
      <xdr:rowOff>38100</xdr:rowOff>
    </xdr:to>
    <xdr:sp macro="" textlink="">
      <xdr:nvSpPr>
        <xdr:cNvPr id="58" name="Rectangle 57">
          <a:extLst>
            <a:ext uri="{FF2B5EF4-FFF2-40B4-BE49-F238E27FC236}">
              <a16:creationId xmlns:a16="http://schemas.microsoft.com/office/drawing/2014/main" id="{88DF90D1-2561-0C47-A3E6-AA3143A3B7BB}"/>
            </a:ext>
          </a:extLst>
        </xdr:cNvPr>
        <xdr:cNvSpPr/>
      </xdr:nvSpPr>
      <xdr:spPr>
        <a:xfrm>
          <a:off x="31117788" y="2273300"/>
          <a:ext cx="1409700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33</xdr:col>
      <xdr:colOff>687614</xdr:colOff>
      <xdr:row>11</xdr:row>
      <xdr:rowOff>182335</xdr:rowOff>
    </xdr:from>
    <xdr:to>
      <xdr:col>34</xdr:col>
      <xdr:colOff>802888</xdr:colOff>
      <xdr:row>11</xdr:row>
      <xdr:rowOff>186871</xdr:rowOff>
    </xdr:to>
    <xdr:cxnSp macro="">
      <xdr:nvCxnSpPr>
        <xdr:cNvPr id="59" name="Straight Arrow Connector 15">
          <a:extLst>
            <a:ext uri="{FF2B5EF4-FFF2-40B4-BE49-F238E27FC236}">
              <a16:creationId xmlns:a16="http://schemas.microsoft.com/office/drawing/2014/main" id="{92CD9A5D-13F3-9B4F-93A5-4DE2ECD10BCD}"/>
            </a:ext>
          </a:extLst>
        </xdr:cNvPr>
        <xdr:cNvCxnSpPr>
          <a:stCxn id="53" idx="3"/>
          <a:endCxn id="58" idx="1"/>
        </xdr:cNvCxnSpPr>
      </xdr:nvCxnSpPr>
      <xdr:spPr>
        <a:xfrm flipV="1">
          <a:off x="30177014" y="2531835"/>
          <a:ext cx="940774" cy="4536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718471</xdr:colOff>
      <xdr:row>13</xdr:row>
      <xdr:rowOff>112486</xdr:rowOff>
    </xdr:from>
    <xdr:to>
      <xdr:col>32</xdr:col>
      <xdr:colOff>719364</xdr:colOff>
      <xdr:row>26</xdr:row>
      <xdr:rowOff>382105</xdr:rowOff>
    </xdr:to>
    <xdr:cxnSp macro="">
      <xdr:nvCxnSpPr>
        <xdr:cNvPr id="60" name="Straight Arrow Connector 15">
          <a:extLst>
            <a:ext uri="{FF2B5EF4-FFF2-40B4-BE49-F238E27FC236}">
              <a16:creationId xmlns:a16="http://schemas.microsoft.com/office/drawing/2014/main" id="{F93AFB01-23FA-FF41-A002-94756BC37AAD}"/>
            </a:ext>
          </a:extLst>
        </xdr:cNvPr>
        <xdr:cNvCxnSpPr>
          <a:stCxn id="53" idx="2"/>
          <a:endCxn id="57" idx="0"/>
        </xdr:cNvCxnSpPr>
      </xdr:nvCxnSpPr>
      <xdr:spPr>
        <a:xfrm flipH="1">
          <a:off x="29382371" y="2868386"/>
          <a:ext cx="893" cy="2911219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90389</xdr:colOff>
      <xdr:row>15</xdr:row>
      <xdr:rowOff>79556</xdr:rowOff>
    </xdr:from>
    <xdr:to>
      <xdr:col>32</xdr:col>
      <xdr:colOff>26889</xdr:colOff>
      <xdr:row>18</xdr:row>
      <xdr:rowOff>130357</xdr:rowOff>
    </xdr:to>
    <xdr:sp macro="" textlink="">
      <xdr:nvSpPr>
        <xdr:cNvPr id="61" name="Rectangle 60">
          <a:extLst>
            <a:ext uri="{FF2B5EF4-FFF2-40B4-BE49-F238E27FC236}">
              <a16:creationId xmlns:a16="http://schemas.microsoft.com/office/drawing/2014/main" id="{85C7E0E7-B727-604E-B7B1-36B148D0C969}"/>
            </a:ext>
          </a:extLst>
        </xdr:cNvPr>
        <xdr:cNvSpPr/>
      </xdr:nvSpPr>
      <xdr:spPr>
        <a:xfrm>
          <a:off x="27039789" y="3241856"/>
          <a:ext cx="1651000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Drying</a:t>
          </a:r>
        </a:p>
      </xdr:txBody>
    </xdr:sp>
    <xdr:clientData/>
  </xdr:twoCellAnchor>
  <xdr:twoCellAnchor>
    <xdr:from>
      <xdr:col>25</xdr:col>
      <xdr:colOff>6815</xdr:colOff>
      <xdr:row>17</xdr:row>
      <xdr:rowOff>134</xdr:rowOff>
    </xdr:from>
    <xdr:to>
      <xdr:col>30</xdr:col>
      <xdr:colOff>90389</xdr:colOff>
      <xdr:row>17</xdr:row>
      <xdr:rowOff>703</xdr:rowOff>
    </xdr:to>
    <xdr:cxnSp macro="">
      <xdr:nvCxnSpPr>
        <xdr:cNvPr id="62" name="Straight Arrow Connector 15">
          <a:extLst>
            <a:ext uri="{FF2B5EF4-FFF2-40B4-BE49-F238E27FC236}">
              <a16:creationId xmlns:a16="http://schemas.microsoft.com/office/drawing/2014/main" id="{E894B915-D1E8-B741-B7CE-6010EDAE13FC}"/>
            </a:ext>
          </a:extLst>
        </xdr:cNvPr>
        <xdr:cNvCxnSpPr>
          <a:stCxn id="33" idx="3"/>
          <a:endCxn id="61" idx="1"/>
        </xdr:cNvCxnSpPr>
      </xdr:nvCxnSpPr>
      <xdr:spPr>
        <a:xfrm>
          <a:off x="22828715" y="3568834"/>
          <a:ext cx="4211074" cy="569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709385</xdr:colOff>
      <xdr:row>3</xdr:row>
      <xdr:rowOff>163285</xdr:rowOff>
    </xdr:from>
    <xdr:to>
      <xdr:col>31</xdr:col>
      <xdr:colOff>435970</xdr:colOff>
      <xdr:row>6</xdr:row>
      <xdr:rowOff>54429</xdr:rowOff>
    </xdr:to>
    <xdr:sp macro="" textlink="">
      <xdr:nvSpPr>
        <xdr:cNvPr id="63" name="Rectangle 62">
          <a:extLst>
            <a:ext uri="{FF2B5EF4-FFF2-40B4-BE49-F238E27FC236}">
              <a16:creationId xmlns:a16="http://schemas.microsoft.com/office/drawing/2014/main" id="{12D44B84-F38C-5A4A-B67C-84CA679B2BB6}"/>
            </a:ext>
          </a:extLst>
        </xdr:cNvPr>
        <xdr:cNvSpPr/>
      </xdr:nvSpPr>
      <xdr:spPr>
        <a:xfrm>
          <a:off x="26833285" y="849085"/>
          <a:ext cx="1441085" cy="538844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30</xdr:col>
      <xdr:colOff>601110</xdr:colOff>
      <xdr:row>6</xdr:row>
      <xdr:rowOff>54429</xdr:rowOff>
    </xdr:from>
    <xdr:to>
      <xdr:col>31</xdr:col>
      <xdr:colOff>30205</xdr:colOff>
      <xdr:row>15</xdr:row>
      <xdr:rowOff>79556</xdr:rowOff>
    </xdr:to>
    <xdr:cxnSp macro="">
      <xdr:nvCxnSpPr>
        <xdr:cNvPr id="64" name="Straight Arrow Connector 15">
          <a:extLst>
            <a:ext uri="{FF2B5EF4-FFF2-40B4-BE49-F238E27FC236}">
              <a16:creationId xmlns:a16="http://schemas.microsoft.com/office/drawing/2014/main" id="{E4F98980-DDA4-8043-8087-BB8168093F11}"/>
            </a:ext>
          </a:extLst>
        </xdr:cNvPr>
        <xdr:cNvCxnSpPr>
          <a:stCxn id="63" idx="2"/>
          <a:endCxn id="61" idx="0"/>
        </xdr:cNvCxnSpPr>
      </xdr:nvCxnSpPr>
      <xdr:spPr>
        <a:xfrm rot="16200000" flipH="1">
          <a:off x="26782594" y="2155845"/>
          <a:ext cx="1853927" cy="318095"/>
        </a:xfrm>
        <a:prstGeom prst="bentConnector3">
          <a:avLst>
            <a:gd name="adj1" fmla="val 27075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18</xdr:row>
      <xdr:rowOff>130357</xdr:rowOff>
    </xdr:from>
    <xdr:to>
      <xdr:col>31</xdr:col>
      <xdr:colOff>30206</xdr:colOff>
      <xdr:row>30</xdr:row>
      <xdr:rowOff>151642</xdr:rowOff>
    </xdr:to>
    <xdr:cxnSp macro="">
      <xdr:nvCxnSpPr>
        <xdr:cNvPr id="65" name="Straight Arrow Connector 15">
          <a:extLst>
            <a:ext uri="{FF2B5EF4-FFF2-40B4-BE49-F238E27FC236}">
              <a16:creationId xmlns:a16="http://schemas.microsoft.com/office/drawing/2014/main" id="{B99FA4B2-0620-4544-9441-BC3DE072EF7F}"/>
            </a:ext>
          </a:extLst>
        </xdr:cNvPr>
        <xdr:cNvCxnSpPr>
          <a:stCxn id="61" idx="2"/>
        </xdr:cNvCxnSpPr>
      </xdr:nvCxnSpPr>
      <xdr:spPr>
        <a:xfrm flipH="1">
          <a:off x="27838400" y="3902257"/>
          <a:ext cx="30206" cy="2688285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26889</xdr:colOff>
      <xdr:row>16</xdr:row>
      <xdr:rowOff>204675</xdr:rowOff>
    </xdr:from>
    <xdr:to>
      <xdr:col>34</xdr:col>
      <xdr:colOff>769310</xdr:colOff>
      <xdr:row>17</xdr:row>
      <xdr:rowOff>703</xdr:rowOff>
    </xdr:to>
    <xdr:cxnSp macro="">
      <xdr:nvCxnSpPr>
        <xdr:cNvPr id="66" name="Straight Arrow Connector 15">
          <a:extLst>
            <a:ext uri="{FF2B5EF4-FFF2-40B4-BE49-F238E27FC236}">
              <a16:creationId xmlns:a16="http://schemas.microsoft.com/office/drawing/2014/main" id="{565EBC3D-94EA-9845-ACE8-F50BC947683D}"/>
            </a:ext>
          </a:extLst>
        </xdr:cNvPr>
        <xdr:cNvCxnSpPr>
          <a:stCxn id="61" idx="3"/>
          <a:endCxn id="67" idx="1"/>
        </xdr:cNvCxnSpPr>
      </xdr:nvCxnSpPr>
      <xdr:spPr>
        <a:xfrm flipV="1">
          <a:off x="28690789" y="3570175"/>
          <a:ext cx="2393421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769310</xdr:colOff>
      <xdr:row>15</xdr:row>
      <xdr:rowOff>144871</xdr:rowOff>
    </xdr:from>
    <xdr:to>
      <xdr:col>36</xdr:col>
      <xdr:colOff>528010</xdr:colOff>
      <xdr:row>18</xdr:row>
      <xdr:rowOff>55971</xdr:rowOff>
    </xdr:to>
    <xdr:sp macro="" textlink="">
      <xdr:nvSpPr>
        <xdr:cNvPr id="67" name="Rectangle 66">
          <a:extLst>
            <a:ext uri="{FF2B5EF4-FFF2-40B4-BE49-F238E27FC236}">
              <a16:creationId xmlns:a16="http://schemas.microsoft.com/office/drawing/2014/main" id="{38CC411D-013E-1446-AA98-D496F334DB06}"/>
            </a:ext>
          </a:extLst>
        </xdr:cNvPr>
        <xdr:cNvSpPr/>
      </xdr:nvSpPr>
      <xdr:spPr>
        <a:xfrm>
          <a:off x="31084210" y="3307171"/>
          <a:ext cx="1409700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29</xdr:col>
      <xdr:colOff>716644</xdr:colOff>
      <xdr:row>30</xdr:row>
      <xdr:rowOff>382105</xdr:rowOff>
    </xdr:from>
    <xdr:to>
      <xdr:col>31</xdr:col>
      <xdr:colOff>720298</xdr:colOff>
      <xdr:row>33</xdr:row>
      <xdr:rowOff>48276</xdr:rowOff>
    </xdr:to>
    <xdr:sp macro="" textlink="">
      <xdr:nvSpPr>
        <xdr:cNvPr id="68" name="Rectangle 67">
          <a:extLst>
            <a:ext uri="{FF2B5EF4-FFF2-40B4-BE49-F238E27FC236}">
              <a16:creationId xmlns:a16="http://schemas.microsoft.com/office/drawing/2014/main" id="{A67ABA60-E8F8-7240-9C8E-961E553C3471}"/>
            </a:ext>
          </a:extLst>
        </xdr:cNvPr>
        <xdr:cNvSpPr/>
      </xdr:nvSpPr>
      <xdr:spPr>
        <a:xfrm>
          <a:off x="26840544" y="6643205"/>
          <a:ext cx="1718154" cy="45357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340732</xdr:colOff>
      <xdr:row>20</xdr:row>
      <xdr:rowOff>24445</xdr:rowOff>
    </xdr:from>
    <xdr:to>
      <xdr:col>14</xdr:col>
      <xdr:colOff>244819</xdr:colOff>
      <xdr:row>23</xdr:row>
      <xdr:rowOff>90201</xdr:rowOff>
    </xdr:to>
    <xdr:cxnSp macro="">
      <xdr:nvCxnSpPr>
        <xdr:cNvPr id="69" name="Straight Arrow Connector 15">
          <a:extLst>
            <a:ext uri="{FF2B5EF4-FFF2-40B4-BE49-F238E27FC236}">
              <a16:creationId xmlns:a16="http://schemas.microsoft.com/office/drawing/2014/main" id="{85E2DD45-31E5-9E4D-B006-8D150DCB3FFC}"/>
            </a:ext>
          </a:extLst>
        </xdr:cNvPr>
        <xdr:cNvCxnSpPr>
          <a:cxnSpLocks/>
          <a:stCxn id="42" idx="3"/>
          <a:endCxn id="70" idx="1"/>
        </xdr:cNvCxnSpPr>
      </xdr:nvCxnSpPr>
      <xdr:spPr>
        <a:xfrm>
          <a:off x="13940985" y="4284572"/>
          <a:ext cx="723961" cy="692718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244819</xdr:colOff>
      <xdr:row>21</xdr:row>
      <xdr:rowOff>107108</xdr:rowOff>
    </xdr:from>
    <xdr:to>
      <xdr:col>16</xdr:col>
      <xdr:colOff>181319</xdr:colOff>
      <xdr:row>25</xdr:row>
      <xdr:rowOff>73293</xdr:rowOff>
    </xdr:to>
    <xdr:sp macro="" textlink="">
      <xdr:nvSpPr>
        <xdr:cNvPr id="70" name="Rectangle 69">
          <a:extLst>
            <a:ext uri="{FF2B5EF4-FFF2-40B4-BE49-F238E27FC236}">
              <a16:creationId xmlns:a16="http://schemas.microsoft.com/office/drawing/2014/main" id="{440383A2-CF53-DF43-A3DC-84C8DA013CB1}"/>
            </a:ext>
          </a:extLst>
        </xdr:cNvPr>
        <xdr:cNvSpPr/>
      </xdr:nvSpPr>
      <xdr:spPr>
        <a:xfrm>
          <a:off x="13986219" y="4488608"/>
          <a:ext cx="1587500" cy="778985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Separation of Cu</a:t>
          </a:r>
          <a:r>
            <a:rPr lang="en-GB" sz="1400" b="1" baseline="0"/>
            <a:t> and black mass</a:t>
          </a:r>
          <a:endParaRPr lang="en-GB" sz="1400" b="1"/>
        </a:p>
      </xdr:txBody>
    </xdr:sp>
    <xdr:clientData/>
  </xdr:twoCellAnchor>
  <xdr:twoCellAnchor>
    <xdr:from>
      <xdr:col>17</xdr:col>
      <xdr:colOff>10077</xdr:colOff>
      <xdr:row>21</xdr:row>
      <xdr:rowOff>107853</xdr:rowOff>
    </xdr:from>
    <xdr:to>
      <xdr:col>18</xdr:col>
      <xdr:colOff>418171</xdr:colOff>
      <xdr:row>24</xdr:row>
      <xdr:rowOff>107854</xdr:rowOff>
    </xdr:to>
    <xdr:sp macro="" textlink="">
      <xdr:nvSpPr>
        <xdr:cNvPr id="71" name="Rectangle 70">
          <a:extLst>
            <a:ext uri="{FF2B5EF4-FFF2-40B4-BE49-F238E27FC236}">
              <a16:creationId xmlns:a16="http://schemas.microsoft.com/office/drawing/2014/main" id="{451E497E-E3E9-FC49-973D-2F00A1F6E489}"/>
            </a:ext>
          </a:extLst>
        </xdr:cNvPr>
        <xdr:cNvSpPr/>
      </xdr:nvSpPr>
      <xdr:spPr>
        <a:xfrm>
          <a:off x="16227977" y="4489353"/>
          <a:ext cx="1233594" cy="60960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181319</xdr:colOff>
      <xdr:row>23</xdr:row>
      <xdr:rowOff>8396</xdr:rowOff>
    </xdr:from>
    <xdr:to>
      <xdr:col>17</xdr:col>
      <xdr:colOff>10077</xdr:colOff>
      <xdr:row>23</xdr:row>
      <xdr:rowOff>90201</xdr:rowOff>
    </xdr:to>
    <xdr:cxnSp macro="">
      <xdr:nvCxnSpPr>
        <xdr:cNvPr id="72" name="Straight Arrow Connector 15">
          <a:extLst>
            <a:ext uri="{FF2B5EF4-FFF2-40B4-BE49-F238E27FC236}">
              <a16:creationId xmlns:a16="http://schemas.microsoft.com/office/drawing/2014/main" id="{0F46E979-A4E6-4A4D-81A3-2BDF5617C1A7}"/>
            </a:ext>
          </a:extLst>
        </xdr:cNvPr>
        <xdr:cNvCxnSpPr>
          <a:cxnSpLocks/>
          <a:stCxn id="70" idx="3"/>
          <a:endCxn id="71" idx="1"/>
        </xdr:cNvCxnSpPr>
      </xdr:nvCxnSpPr>
      <xdr:spPr>
        <a:xfrm flipV="1">
          <a:off x="15573719" y="4796296"/>
          <a:ext cx="654258" cy="81805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802888</xdr:colOff>
      <xdr:row>26</xdr:row>
      <xdr:rowOff>382530</xdr:rowOff>
    </xdr:from>
    <xdr:to>
      <xdr:col>18</xdr:col>
      <xdr:colOff>561588</xdr:colOff>
      <xdr:row>29</xdr:row>
      <xdr:rowOff>38100</xdr:rowOff>
    </xdr:to>
    <xdr:sp macro="" textlink="">
      <xdr:nvSpPr>
        <xdr:cNvPr id="73" name="Rectangle 72">
          <a:extLst>
            <a:ext uri="{FF2B5EF4-FFF2-40B4-BE49-F238E27FC236}">
              <a16:creationId xmlns:a16="http://schemas.microsoft.com/office/drawing/2014/main" id="{F705C112-E2BD-DC41-A1B9-DDF3CA336716}"/>
            </a:ext>
          </a:extLst>
        </xdr:cNvPr>
        <xdr:cNvSpPr/>
      </xdr:nvSpPr>
      <xdr:spPr>
        <a:xfrm>
          <a:off x="16195288" y="5780030"/>
          <a:ext cx="1409700" cy="49377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181319</xdr:colOff>
      <xdr:row>23</xdr:row>
      <xdr:rowOff>90201</xdr:rowOff>
    </xdr:from>
    <xdr:to>
      <xdr:col>16</xdr:col>
      <xdr:colOff>802888</xdr:colOff>
      <xdr:row>27</xdr:row>
      <xdr:rowOff>195014</xdr:rowOff>
    </xdr:to>
    <xdr:cxnSp macro="">
      <xdr:nvCxnSpPr>
        <xdr:cNvPr id="74" name="Straight Arrow Connector 15">
          <a:extLst>
            <a:ext uri="{FF2B5EF4-FFF2-40B4-BE49-F238E27FC236}">
              <a16:creationId xmlns:a16="http://schemas.microsoft.com/office/drawing/2014/main" id="{12924924-E89E-8C4A-A6FF-686CFE88F90C}"/>
            </a:ext>
          </a:extLst>
        </xdr:cNvPr>
        <xdr:cNvCxnSpPr>
          <a:cxnSpLocks/>
          <a:stCxn id="70" idx="3"/>
          <a:endCxn id="73" idx="1"/>
        </xdr:cNvCxnSpPr>
      </xdr:nvCxnSpPr>
      <xdr:spPr>
        <a:xfrm>
          <a:off x="15573719" y="4878101"/>
          <a:ext cx="621569" cy="1146213"/>
        </a:xfrm>
        <a:prstGeom prst="bentConnector3">
          <a:avLst>
            <a:gd name="adj1" fmla="val 52462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800100</xdr:colOff>
      <xdr:row>30</xdr:row>
      <xdr:rowOff>165100</xdr:rowOff>
    </xdr:from>
    <xdr:to>
      <xdr:col>15</xdr:col>
      <xdr:colOff>736600</xdr:colOff>
      <xdr:row>33</xdr:row>
      <xdr:rowOff>12700</xdr:rowOff>
    </xdr:to>
    <xdr:sp macro="" textlink="">
      <xdr:nvSpPr>
        <xdr:cNvPr id="75" name="Rectangle 74">
          <a:extLst>
            <a:ext uri="{FF2B5EF4-FFF2-40B4-BE49-F238E27FC236}">
              <a16:creationId xmlns:a16="http://schemas.microsoft.com/office/drawing/2014/main" id="{161D6BF9-1816-9F48-A626-76AF24EBA26B}"/>
            </a:ext>
          </a:extLst>
        </xdr:cNvPr>
        <xdr:cNvSpPr/>
      </xdr:nvSpPr>
      <xdr:spPr>
        <a:xfrm>
          <a:off x="13716000" y="6604000"/>
          <a:ext cx="1587500" cy="4572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14</xdr:col>
      <xdr:colOff>768350</xdr:colOff>
      <xdr:row>25</xdr:row>
      <xdr:rowOff>73293</xdr:rowOff>
    </xdr:from>
    <xdr:to>
      <xdr:col>15</xdr:col>
      <xdr:colOff>213069</xdr:colOff>
      <xdr:row>30</xdr:row>
      <xdr:rowOff>165100</xdr:rowOff>
    </xdr:to>
    <xdr:cxnSp macro="">
      <xdr:nvCxnSpPr>
        <xdr:cNvPr id="76" name="Straight Arrow Connector 15">
          <a:extLst>
            <a:ext uri="{FF2B5EF4-FFF2-40B4-BE49-F238E27FC236}">
              <a16:creationId xmlns:a16="http://schemas.microsoft.com/office/drawing/2014/main" id="{E27F0EC7-1996-064C-A94F-330519CD36E9}"/>
            </a:ext>
          </a:extLst>
        </xdr:cNvPr>
        <xdr:cNvCxnSpPr>
          <a:cxnSpLocks/>
          <a:stCxn id="70" idx="2"/>
          <a:endCxn id="75" idx="0"/>
        </xdr:cNvCxnSpPr>
      </xdr:nvCxnSpPr>
      <xdr:spPr>
        <a:xfrm rot="5400000">
          <a:off x="13976656" y="5800687"/>
          <a:ext cx="1336407" cy="270219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683939</xdr:colOff>
      <xdr:row>21</xdr:row>
      <xdr:rowOff>85037</xdr:rowOff>
    </xdr:from>
    <xdr:to>
      <xdr:col>21</xdr:col>
      <xdr:colOff>681644</xdr:colOff>
      <xdr:row>24</xdr:row>
      <xdr:rowOff>135838</xdr:rowOff>
    </xdr:to>
    <xdr:sp macro="" textlink="">
      <xdr:nvSpPr>
        <xdr:cNvPr id="77" name="Rectangle 76">
          <a:extLst>
            <a:ext uri="{FF2B5EF4-FFF2-40B4-BE49-F238E27FC236}">
              <a16:creationId xmlns:a16="http://schemas.microsoft.com/office/drawing/2014/main" id="{193517E6-9878-424A-8398-EC04888B1C2D}"/>
            </a:ext>
          </a:extLst>
        </xdr:cNvPr>
        <xdr:cNvSpPr/>
      </xdr:nvSpPr>
      <xdr:spPr>
        <a:xfrm>
          <a:off x="18552839" y="4466537"/>
          <a:ext cx="1648705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Drying</a:t>
          </a:r>
        </a:p>
      </xdr:txBody>
    </xdr:sp>
    <xdr:clientData/>
  </xdr:twoCellAnchor>
  <xdr:twoCellAnchor>
    <xdr:from>
      <xdr:col>21</xdr:col>
      <xdr:colOff>821038</xdr:colOff>
      <xdr:row>26</xdr:row>
      <xdr:rowOff>298642</xdr:rowOff>
    </xdr:from>
    <xdr:to>
      <xdr:col>23</xdr:col>
      <xdr:colOff>818743</xdr:colOff>
      <xdr:row>29</xdr:row>
      <xdr:rowOff>119925</xdr:rowOff>
    </xdr:to>
    <xdr:sp macro="" textlink="">
      <xdr:nvSpPr>
        <xdr:cNvPr id="78" name="Rectangle 77">
          <a:extLst>
            <a:ext uri="{FF2B5EF4-FFF2-40B4-BE49-F238E27FC236}">
              <a16:creationId xmlns:a16="http://schemas.microsoft.com/office/drawing/2014/main" id="{A91F2E64-D82F-BA4A-B97F-D6B5E22D217B}"/>
            </a:ext>
          </a:extLst>
        </xdr:cNvPr>
        <xdr:cNvSpPr/>
      </xdr:nvSpPr>
      <xdr:spPr>
        <a:xfrm>
          <a:off x="20340938" y="5696142"/>
          <a:ext cx="1648705" cy="659483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Drying</a:t>
          </a:r>
        </a:p>
      </xdr:txBody>
    </xdr:sp>
    <xdr:clientData/>
  </xdr:twoCellAnchor>
  <xdr:twoCellAnchor>
    <xdr:from>
      <xdr:col>18</xdr:col>
      <xdr:colOff>418171</xdr:colOff>
      <xdr:row>23</xdr:row>
      <xdr:rowOff>8396</xdr:rowOff>
    </xdr:from>
    <xdr:to>
      <xdr:col>19</xdr:col>
      <xdr:colOff>683939</xdr:colOff>
      <xdr:row>23</xdr:row>
      <xdr:rowOff>10980</xdr:rowOff>
    </xdr:to>
    <xdr:cxnSp macro="">
      <xdr:nvCxnSpPr>
        <xdr:cNvPr id="79" name="Straight Arrow Connector 15">
          <a:extLst>
            <a:ext uri="{FF2B5EF4-FFF2-40B4-BE49-F238E27FC236}">
              <a16:creationId xmlns:a16="http://schemas.microsoft.com/office/drawing/2014/main" id="{BAF0CC18-4A1A-D046-A854-137A732E2171}"/>
            </a:ext>
          </a:extLst>
        </xdr:cNvPr>
        <xdr:cNvCxnSpPr>
          <a:cxnSpLocks/>
          <a:stCxn id="71" idx="3"/>
          <a:endCxn id="77" idx="1"/>
        </xdr:cNvCxnSpPr>
      </xdr:nvCxnSpPr>
      <xdr:spPr>
        <a:xfrm>
          <a:off x="17461571" y="4796296"/>
          <a:ext cx="1091268" cy="2584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561588</xdr:colOff>
      <xdr:row>27</xdr:row>
      <xdr:rowOff>193982</xdr:rowOff>
    </xdr:from>
    <xdr:to>
      <xdr:col>21</xdr:col>
      <xdr:colOff>821038</xdr:colOff>
      <xdr:row>27</xdr:row>
      <xdr:rowOff>195014</xdr:rowOff>
    </xdr:to>
    <xdr:cxnSp macro="">
      <xdr:nvCxnSpPr>
        <xdr:cNvPr id="80" name="Straight Arrow Connector 15">
          <a:extLst>
            <a:ext uri="{FF2B5EF4-FFF2-40B4-BE49-F238E27FC236}">
              <a16:creationId xmlns:a16="http://schemas.microsoft.com/office/drawing/2014/main" id="{484093C5-30C7-9345-A279-A03E27A91DAE}"/>
            </a:ext>
          </a:extLst>
        </xdr:cNvPr>
        <xdr:cNvCxnSpPr>
          <a:cxnSpLocks/>
          <a:stCxn id="73" idx="3"/>
          <a:endCxn id="78" idx="1"/>
        </xdr:cNvCxnSpPr>
      </xdr:nvCxnSpPr>
      <xdr:spPr>
        <a:xfrm flipV="1">
          <a:off x="17604988" y="6023282"/>
          <a:ext cx="2735950" cy="103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709385</xdr:colOff>
      <xdr:row>33</xdr:row>
      <xdr:rowOff>193419</xdr:rowOff>
    </xdr:from>
    <xdr:to>
      <xdr:col>21</xdr:col>
      <xdr:colOff>397832</xdr:colOff>
      <xdr:row>36</xdr:row>
      <xdr:rowOff>41019</xdr:rowOff>
    </xdr:to>
    <xdr:sp macro="" textlink="">
      <xdr:nvSpPr>
        <xdr:cNvPr id="81" name="Rectangle 80">
          <a:extLst>
            <a:ext uri="{FF2B5EF4-FFF2-40B4-BE49-F238E27FC236}">
              <a16:creationId xmlns:a16="http://schemas.microsoft.com/office/drawing/2014/main" id="{93D97BAB-D0F9-5F46-9D5B-CF4A8DFC54A8}"/>
            </a:ext>
          </a:extLst>
        </xdr:cNvPr>
        <xdr:cNvSpPr/>
      </xdr:nvSpPr>
      <xdr:spPr>
        <a:xfrm>
          <a:off x="18578285" y="7241919"/>
          <a:ext cx="1339447" cy="4572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21</xdr:col>
      <xdr:colOff>765060</xdr:colOff>
      <xdr:row>33</xdr:row>
      <xdr:rowOff>193419</xdr:rowOff>
    </xdr:from>
    <xdr:to>
      <xdr:col>23</xdr:col>
      <xdr:colOff>645886</xdr:colOff>
      <xdr:row>36</xdr:row>
      <xdr:rowOff>41019</xdr:rowOff>
    </xdr:to>
    <xdr:sp macro="" textlink="">
      <xdr:nvSpPr>
        <xdr:cNvPr id="82" name="Rectangle 81">
          <a:extLst>
            <a:ext uri="{FF2B5EF4-FFF2-40B4-BE49-F238E27FC236}">
              <a16:creationId xmlns:a16="http://schemas.microsoft.com/office/drawing/2014/main" id="{F49BB397-7967-2B45-B155-398BE5D08D9C}"/>
            </a:ext>
          </a:extLst>
        </xdr:cNvPr>
        <xdr:cNvSpPr/>
      </xdr:nvSpPr>
      <xdr:spPr>
        <a:xfrm>
          <a:off x="20284960" y="7241919"/>
          <a:ext cx="1531826" cy="4572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553608</xdr:colOff>
      <xdr:row>24</xdr:row>
      <xdr:rowOff>135839</xdr:rowOff>
    </xdr:from>
    <xdr:to>
      <xdr:col>20</xdr:col>
      <xdr:colOff>682791</xdr:colOff>
      <xdr:row>33</xdr:row>
      <xdr:rowOff>193420</xdr:rowOff>
    </xdr:to>
    <xdr:cxnSp macro="">
      <xdr:nvCxnSpPr>
        <xdr:cNvPr id="83" name="Straight Arrow Connector 15">
          <a:extLst>
            <a:ext uri="{FF2B5EF4-FFF2-40B4-BE49-F238E27FC236}">
              <a16:creationId xmlns:a16="http://schemas.microsoft.com/office/drawing/2014/main" id="{37896D9A-105C-9E4C-BFCC-6D3292693F42}"/>
            </a:ext>
          </a:extLst>
        </xdr:cNvPr>
        <xdr:cNvCxnSpPr>
          <a:cxnSpLocks/>
          <a:stCxn id="81" idx="0"/>
          <a:endCxn id="77" idx="2"/>
        </xdr:cNvCxnSpPr>
      </xdr:nvCxnSpPr>
      <xdr:spPr>
        <a:xfrm rot="5400000" flipH="1" flipV="1">
          <a:off x="18255109" y="6119838"/>
          <a:ext cx="2114981" cy="129183"/>
        </a:xfrm>
        <a:prstGeom prst="bentConnector3">
          <a:avLst>
            <a:gd name="adj1" fmla="val 27166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705474</xdr:colOff>
      <xdr:row>29</xdr:row>
      <xdr:rowOff>119925</xdr:rowOff>
    </xdr:from>
    <xdr:to>
      <xdr:col>22</xdr:col>
      <xdr:colOff>819892</xdr:colOff>
      <xdr:row>33</xdr:row>
      <xdr:rowOff>193419</xdr:rowOff>
    </xdr:to>
    <xdr:cxnSp macro="">
      <xdr:nvCxnSpPr>
        <xdr:cNvPr id="84" name="Straight Arrow Connector 15">
          <a:extLst>
            <a:ext uri="{FF2B5EF4-FFF2-40B4-BE49-F238E27FC236}">
              <a16:creationId xmlns:a16="http://schemas.microsoft.com/office/drawing/2014/main" id="{4B6EB9B2-4DED-1F49-AF1F-D3BFBC70CD54}"/>
            </a:ext>
          </a:extLst>
        </xdr:cNvPr>
        <xdr:cNvCxnSpPr>
          <a:cxnSpLocks/>
          <a:stCxn id="82" idx="0"/>
          <a:endCxn id="78" idx="2"/>
        </xdr:cNvCxnSpPr>
      </xdr:nvCxnSpPr>
      <xdr:spPr>
        <a:xfrm rot="5400000" flipH="1" flipV="1">
          <a:off x="20664936" y="6741563"/>
          <a:ext cx="886294" cy="114418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800100</xdr:colOff>
      <xdr:row>33</xdr:row>
      <xdr:rowOff>165100</xdr:rowOff>
    </xdr:from>
    <xdr:to>
      <xdr:col>18</xdr:col>
      <xdr:colOff>736600</xdr:colOff>
      <xdr:row>36</xdr:row>
      <xdr:rowOff>12700</xdr:rowOff>
    </xdr:to>
    <xdr:sp macro="" textlink="">
      <xdr:nvSpPr>
        <xdr:cNvPr id="85" name="Rectangle 84">
          <a:extLst>
            <a:ext uri="{FF2B5EF4-FFF2-40B4-BE49-F238E27FC236}">
              <a16:creationId xmlns:a16="http://schemas.microsoft.com/office/drawing/2014/main" id="{7E6CE788-C12E-E145-90B1-5D86C7A83853}"/>
            </a:ext>
          </a:extLst>
        </xdr:cNvPr>
        <xdr:cNvSpPr/>
      </xdr:nvSpPr>
      <xdr:spPr>
        <a:xfrm>
          <a:off x="16192500" y="7213600"/>
          <a:ext cx="1587500" cy="4572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34</xdr:col>
      <xdr:colOff>792833</xdr:colOff>
      <xdr:row>34</xdr:row>
      <xdr:rowOff>135051</xdr:rowOff>
    </xdr:from>
    <xdr:to>
      <xdr:col>36</xdr:col>
      <xdr:colOff>551533</xdr:colOff>
      <xdr:row>37</xdr:row>
      <xdr:rowOff>46151</xdr:rowOff>
    </xdr:to>
    <xdr:sp macro="" textlink="">
      <xdr:nvSpPr>
        <xdr:cNvPr id="86" name="Rectangle 85">
          <a:extLst>
            <a:ext uri="{FF2B5EF4-FFF2-40B4-BE49-F238E27FC236}">
              <a16:creationId xmlns:a16="http://schemas.microsoft.com/office/drawing/2014/main" id="{A0FCC33F-E2F5-BA4C-99EB-5DBBCC22A1C0}"/>
            </a:ext>
          </a:extLst>
        </xdr:cNvPr>
        <xdr:cNvSpPr/>
      </xdr:nvSpPr>
      <xdr:spPr>
        <a:xfrm>
          <a:off x="31107733" y="7386751"/>
          <a:ext cx="1409700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21</xdr:col>
      <xdr:colOff>681644</xdr:colOff>
      <xdr:row>23</xdr:row>
      <xdr:rowOff>10980</xdr:rowOff>
    </xdr:from>
    <xdr:to>
      <xdr:col>34</xdr:col>
      <xdr:colOff>792833</xdr:colOff>
      <xdr:row>35</xdr:row>
      <xdr:rowOff>190059</xdr:rowOff>
    </xdr:to>
    <xdr:cxnSp macro="">
      <xdr:nvCxnSpPr>
        <xdr:cNvPr id="87" name="Straight Arrow Connector 15">
          <a:extLst>
            <a:ext uri="{FF2B5EF4-FFF2-40B4-BE49-F238E27FC236}">
              <a16:creationId xmlns:a16="http://schemas.microsoft.com/office/drawing/2014/main" id="{3299E2AF-247F-F242-A3E7-D134D6871A6F}"/>
            </a:ext>
          </a:extLst>
        </xdr:cNvPr>
        <xdr:cNvCxnSpPr>
          <a:cxnSpLocks/>
          <a:stCxn id="77" idx="3"/>
          <a:endCxn id="86" idx="1"/>
        </xdr:cNvCxnSpPr>
      </xdr:nvCxnSpPr>
      <xdr:spPr>
        <a:xfrm>
          <a:off x="20201544" y="4798880"/>
          <a:ext cx="10906189" cy="2846079"/>
        </a:xfrm>
        <a:prstGeom prst="bentConnector3">
          <a:avLst>
            <a:gd name="adj1" fmla="val 37803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768351</xdr:colOff>
      <xdr:row>24</xdr:row>
      <xdr:rowOff>135838</xdr:rowOff>
    </xdr:from>
    <xdr:to>
      <xdr:col>20</xdr:col>
      <xdr:colOff>682793</xdr:colOff>
      <xdr:row>33</xdr:row>
      <xdr:rowOff>165100</xdr:rowOff>
    </xdr:to>
    <xdr:cxnSp macro="">
      <xdr:nvCxnSpPr>
        <xdr:cNvPr id="88" name="Straight Arrow Connector 15">
          <a:extLst>
            <a:ext uri="{FF2B5EF4-FFF2-40B4-BE49-F238E27FC236}">
              <a16:creationId xmlns:a16="http://schemas.microsoft.com/office/drawing/2014/main" id="{D7F82B03-B7E0-7E40-857E-A4EE0BC23ABB}"/>
            </a:ext>
          </a:extLst>
        </xdr:cNvPr>
        <xdr:cNvCxnSpPr>
          <a:cxnSpLocks/>
          <a:stCxn id="77" idx="2"/>
          <a:endCxn id="85" idx="0"/>
        </xdr:cNvCxnSpPr>
      </xdr:nvCxnSpPr>
      <xdr:spPr>
        <a:xfrm rot="5400000">
          <a:off x="17138391" y="4974798"/>
          <a:ext cx="2086662" cy="2390942"/>
        </a:xfrm>
        <a:prstGeom prst="bentConnector3">
          <a:avLst>
            <a:gd name="adj1" fmla="val 7315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792221</xdr:colOff>
      <xdr:row>38</xdr:row>
      <xdr:rowOff>134439</xdr:rowOff>
    </xdr:from>
    <xdr:to>
      <xdr:col>36</xdr:col>
      <xdr:colOff>550921</xdr:colOff>
      <xdr:row>41</xdr:row>
      <xdr:rowOff>45539</xdr:rowOff>
    </xdr:to>
    <xdr:sp macro="" textlink="">
      <xdr:nvSpPr>
        <xdr:cNvPr id="89" name="Rectangle 88">
          <a:extLst>
            <a:ext uri="{FF2B5EF4-FFF2-40B4-BE49-F238E27FC236}">
              <a16:creationId xmlns:a16="http://schemas.microsoft.com/office/drawing/2014/main" id="{B31A5BCB-5BF7-0540-8342-73CFDF5ACFF5}"/>
            </a:ext>
          </a:extLst>
        </xdr:cNvPr>
        <xdr:cNvSpPr/>
      </xdr:nvSpPr>
      <xdr:spPr>
        <a:xfrm>
          <a:off x="31107121" y="8224339"/>
          <a:ext cx="1409700" cy="5715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23</xdr:col>
      <xdr:colOff>818743</xdr:colOff>
      <xdr:row>27</xdr:row>
      <xdr:rowOff>193982</xdr:rowOff>
    </xdr:from>
    <xdr:to>
      <xdr:col>34</xdr:col>
      <xdr:colOff>792221</xdr:colOff>
      <xdr:row>39</xdr:row>
      <xdr:rowOff>189447</xdr:rowOff>
    </xdr:to>
    <xdr:cxnSp macro="">
      <xdr:nvCxnSpPr>
        <xdr:cNvPr id="90" name="Straight Arrow Connector 15">
          <a:extLst>
            <a:ext uri="{FF2B5EF4-FFF2-40B4-BE49-F238E27FC236}">
              <a16:creationId xmlns:a16="http://schemas.microsoft.com/office/drawing/2014/main" id="{4B34E4CC-7019-754B-86B8-704BD0D1E3F5}"/>
            </a:ext>
          </a:extLst>
        </xdr:cNvPr>
        <xdr:cNvCxnSpPr>
          <a:cxnSpLocks/>
          <a:stCxn id="78" idx="3"/>
          <a:endCxn id="89" idx="1"/>
        </xdr:cNvCxnSpPr>
      </xdr:nvCxnSpPr>
      <xdr:spPr>
        <a:xfrm>
          <a:off x="21989643" y="6023282"/>
          <a:ext cx="9117478" cy="2497365"/>
        </a:xfrm>
        <a:prstGeom prst="bentConnector3">
          <a:avLst>
            <a:gd name="adj1" fmla="val 18639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810352</xdr:colOff>
      <xdr:row>33</xdr:row>
      <xdr:rowOff>187605</xdr:rowOff>
    </xdr:from>
    <xdr:to>
      <xdr:col>25</xdr:col>
      <xdr:colOff>691178</xdr:colOff>
      <xdr:row>36</xdr:row>
      <xdr:rowOff>147504</xdr:rowOff>
    </xdr:to>
    <xdr:sp macro="" textlink="">
      <xdr:nvSpPr>
        <xdr:cNvPr id="91" name="Rectangle 90">
          <a:extLst>
            <a:ext uri="{FF2B5EF4-FFF2-40B4-BE49-F238E27FC236}">
              <a16:creationId xmlns:a16="http://schemas.microsoft.com/office/drawing/2014/main" id="{5F2ECA3B-8A99-E84D-8D4C-C6FC49C64918}"/>
            </a:ext>
          </a:extLst>
        </xdr:cNvPr>
        <xdr:cNvSpPr/>
      </xdr:nvSpPr>
      <xdr:spPr>
        <a:xfrm>
          <a:off x="21981252" y="7236105"/>
          <a:ext cx="1531826" cy="569499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22</xdr:col>
      <xdr:colOff>819892</xdr:colOff>
      <xdr:row>29</xdr:row>
      <xdr:rowOff>119924</xdr:rowOff>
    </xdr:from>
    <xdr:to>
      <xdr:col>24</xdr:col>
      <xdr:colOff>750767</xdr:colOff>
      <xdr:row>33</xdr:row>
      <xdr:rowOff>187604</xdr:rowOff>
    </xdr:to>
    <xdr:cxnSp macro="">
      <xdr:nvCxnSpPr>
        <xdr:cNvPr id="92" name="Straight Arrow Connector 15">
          <a:extLst>
            <a:ext uri="{FF2B5EF4-FFF2-40B4-BE49-F238E27FC236}">
              <a16:creationId xmlns:a16="http://schemas.microsoft.com/office/drawing/2014/main" id="{22E73D24-1601-3742-8874-91059E845EF5}"/>
            </a:ext>
          </a:extLst>
        </xdr:cNvPr>
        <xdr:cNvCxnSpPr>
          <a:cxnSpLocks/>
          <a:stCxn id="78" idx="2"/>
          <a:endCxn id="91" idx="0"/>
        </xdr:cNvCxnSpPr>
      </xdr:nvCxnSpPr>
      <xdr:spPr>
        <a:xfrm rot="16200000" flipH="1">
          <a:off x="21515990" y="6004926"/>
          <a:ext cx="880480" cy="1581875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768350</xdr:colOff>
      <xdr:row>6</xdr:row>
      <xdr:rowOff>12700</xdr:rowOff>
    </xdr:from>
    <xdr:to>
      <xdr:col>22</xdr:col>
      <xdr:colOff>768351</xdr:colOff>
      <xdr:row>15</xdr:row>
      <xdr:rowOff>76200</xdr:rowOff>
    </xdr:to>
    <xdr:cxnSp macro="">
      <xdr:nvCxnSpPr>
        <xdr:cNvPr id="93" name="Straight Arrow Connector 15">
          <a:extLst>
            <a:ext uri="{FF2B5EF4-FFF2-40B4-BE49-F238E27FC236}">
              <a16:creationId xmlns:a16="http://schemas.microsoft.com/office/drawing/2014/main" id="{130E1D91-F427-3640-8C9C-BC7C97F5FD3A}"/>
            </a:ext>
          </a:extLst>
        </xdr:cNvPr>
        <xdr:cNvCxnSpPr>
          <a:stCxn id="28" idx="0"/>
          <a:endCxn id="32" idx="2"/>
        </xdr:cNvCxnSpPr>
      </xdr:nvCxnSpPr>
      <xdr:spPr>
        <a:xfrm rot="5400000" flipH="1" flipV="1">
          <a:off x="19342101" y="1466849"/>
          <a:ext cx="1892300" cy="1651001"/>
        </a:xfrm>
        <a:prstGeom prst="bentConnector3">
          <a:avLst>
            <a:gd name="adj1" fmla="val 49233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579164</xdr:colOff>
      <xdr:row>11</xdr:row>
      <xdr:rowOff>168270</xdr:rowOff>
    </xdr:from>
    <xdr:to>
      <xdr:col>37</xdr:col>
      <xdr:colOff>694439</xdr:colOff>
      <xdr:row>11</xdr:row>
      <xdr:rowOff>172806</xdr:rowOff>
    </xdr:to>
    <xdr:cxnSp macro="">
      <xdr:nvCxnSpPr>
        <xdr:cNvPr id="102" name="Straight Arrow Connector 15">
          <a:extLst>
            <a:ext uri="{FF2B5EF4-FFF2-40B4-BE49-F238E27FC236}">
              <a16:creationId xmlns:a16="http://schemas.microsoft.com/office/drawing/2014/main" id="{15695081-3119-0D41-9087-153EC2C30AC2}"/>
            </a:ext>
          </a:extLst>
        </xdr:cNvPr>
        <xdr:cNvCxnSpPr/>
      </xdr:nvCxnSpPr>
      <xdr:spPr>
        <a:xfrm flipV="1">
          <a:off x="32545064" y="2517770"/>
          <a:ext cx="940775" cy="4536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713483</xdr:colOff>
      <xdr:row>10</xdr:row>
      <xdr:rowOff>71348</xdr:rowOff>
    </xdr:from>
    <xdr:to>
      <xdr:col>39</xdr:col>
      <xdr:colOff>649983</xdr:colOff>
      <xdr:row>13</xdr:row>
      <xdr:rowOff>122149</xdr:rowOff>
    </xdr:to>
    <xdr:sp macro="" textlink="">
      <xdr:nvSpPr>
        <xdr:cNvPr id="103" name="Rectangle 102">
          <a:extLst>
            <a:ext uri="{FF2B5EF4-FFF2-40B4-BE49-F238E27FC236}">
              <a16:creationId xmlns:a16="http://schemas.microsoft.com/office/drawing/2014/main" id="{3668F2C1-0C1A-8C4D-8E4A-B5812F893D33}"/>
            </a:ext>
          </a:extLst>
        </xdr:cNvPr>
        <xdr:cNvSpPr/>
      </xdr:nvSpPr>
      <xdr:spPr>
        <a:xfrm>
          <a:off x="33504883" y="2217648"/>
          <a:ext cx="1587500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Relithiation</a:t>
          </a:r>
        </a:p>
      </xdr:txBody>
    </xdr:sp>
    <xdr:clientData/>
  </xdr:twoCellAnchor>
  <xdr:twoCellAnchor>
    <xdr:from>
      <xdr:col>39</xdr:col>
      <xdr:colOff>660216</xdr:colOff>
      <xdr:row>11</xdr:row>
      <xdr:rowOff>149434</xdr:rowOff>
    </xdr:from>
    <xdr:to>
      <xdr:col>40</xdr:col>
      <xdr:colOff>775491</xdr:colOff>
      <xdr:row>11</xdr:row>
      <xdr:rowOff>153970</xdr:rowOff>
    </xdr:to>
    <xdr:cxnSp macro="">
      <xdr:nvCxnSpPr>
        <xdr:cNvPr id="104" name="Straight Arrow Connector 15">
          <a:extLst>
            <a:ext uri="{FF2B5EF4-FFF2-40B4-BE49-F238E27FC236}">
              <a16:creationId xmlns:a16="http://schemas.microsoft.com/office/drawing/2014/main" id="{B013D33C-A326-9E47-AD06-B30416849FC9}"/>
            </a:ext>
          </a:extLst>
        </xdr:cNvPr>
        <xdr:cNvCxnSpPr/>
      </xdr:nvCxnSpPr>
      <xdr:spPr>
        <a:xfrm flipV="1">
          <a:off x="35102616" y="2498934"/>
          <a:ext cx="940775" cy="4536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799102</xdr:colOff>
      <xdr:row>10</xdr:row>
      <xdr:rowOff>114157</xdr:rowOff>
    </xdr:from>
    <xdr:to>
      <xdr:col>42</xdr:col>
      <xdr:colOff>557802</xdr:colOff>
      <xdr:row>13</xdr:row>
      <xdr:rowOff>25257</xdr:rowOff>
    </xdr:to>
    <xdr:sp macro="" textlink="">
      <xdr:nvSpPr>
        <xdr:cNvPr id="105" name="Rectangle 104">
          <a:extLst>
            <a:ext uri="{FF2B5EF4-FFF2-40B4-BE49-F238E27FC236}">
              <a16:creationId xmlns:a16="http://schemas.microsoft.com/office/drawing/2014/main" id="{768EB512-CB29-794D-84B8-D1AE8EAB19F6}"/>
            </a:ext>
          </a:extLst>
        </xdr:cNvPr>
        <xdr:cNvSpPr/>
      </xdr:nvSpPr>
      <xdr:spPr>
        <a:xfrm>
          <a:off x="36067002" y="2260457"/>
          <a:ext cx="1409700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36</xdr:col>
      <xdr:colOff>772717</xdr:colOff>
      <xdr:row>4</xdr:row>
      <xdr:rowOff>198756</xdr:rowOff>
    </xdr:from>
    <xdr:to>
      <xdr:col>38</xdr:col>
      <xdr:colOff>531418</xdr:colOff>
      <xdr:row>7</xdr:row>
      <xdr:rowOff>67047</xdr:rowOff>
    </xdr:to>
    <xdr:sp macro="" textlink="">
      <xdr:nvSpPr>
        <xdr:cNvPr id="106" name="Rectangle 105">
          <a:extLst>
            <a:ext uri="{FF2B5EF4-FFF2-40B4-BE49-F238E27FC236}">
              <a16:creationId xmlns:a16="http://schemas.microsoft.com/office/drawing/2014/main" id="{FE92C6BE-E13F-7E49-A2BE-8C15B09D4E50}"/>
            </a:ext>
          </a:extLst>
        </xdr:cNvPr>
        <xdr:cNvSpPr/>
      </xdr:nvSpPr>
      <xdr:spPr>
        <a:xfrm>
          <a:off x="32738617" y="1087756"/>
          <a:ext cx="1409701" cy="51599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38</xdr:col>
      <xdr:colOff>739612</xdr:colOff>
      <xdr:row>4</xdr:row>
      <xdr:rowOff>179920</xdr:rowOff>
    </xdr:from>
    <xdr:to>
      <xdr:col>40</xdr:col>
      <xdr:colOff>498312</xdr:colOff>
      <xdr:row>7</xdr:row>
      <xdr:rowOff>48211</xdr:rowOff>
    </xdr:to>
    <xdr:sp macro="" textlink="">
      <xdr:nvSpPr>
        <xdr:cNvPr id="107" name="Rectangle 106">
          <a:extLst>
            <a:ext uri="{FF2B5EF4-FFF2-40B4-BE49-F238E27FC236}">
              <a16:creationId xmlns:a16="http://schemas.microsoft.com/office/drawing/2014/main" id="{A67F1A6A-02A7-3B4E-88D6-F5882020CD7D}"/>
            </a:ext>
          </a:extLst>
        </xdr:cNvPr>
        <xdr:cNvSpPr/>
      </xdr:nvSpPr>
      <xdr:spPr>
        <a:xfrm>
          <a:off x="34356512" y="1068920"/>
          <a:ext cx="1409700" cy="51599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37</xdr:col>
      <xdr:colOff>652069</xdr:colOff>
      <xdr:row>7</xdr:row>
      <xdr:rowOff>67046</xdr:rowOff>
    </xdr:from>
    <xdr:to>
      <xdr:col>38</xdr:col>
      <xdr:colOff>681735</xdr:colOff>
      <xdr:row>10</xdr:row>
      <xdr:rowOff>71347</xdr:rowOff>
    </xdr:to>
    <xdr:cxnSp macro="">
      <xdr:nvCxnSpPr>
        <xdr:cNvPr id="108" name="Straight Arrow Connector 15">
          <a:extLst>
            <a:ext uri="{FF2B5EF4-FFF2-40B4-BE49-F238E27FC236}">
              <a16:creationId xmlns:a16="http://schemas.microsoft.com/office/drawing/2014/main" id="{EF8E94BB-3314-E345-8111-AEAC131FA922}"/>
            </a:ext>
          </a:extLst>
        </xdr:cNvPr>
        <xdr:cNvCxnSpPr>
          <a:stCxn id="106" idx="2"/>
          <a:endCxn id="103" idx="0"/>
        </xdr:cNvCxnSpPr>
      </xdr:nvCxnSpPr>
      <xdr:spPr>
        <a:xfrm rot="16200000" flipH="1">
          <a:off x="33564101" y="1483114"/>
          <a:ext cx="613901" cy="855166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681735</xdr:colOff>
      <xdr:row>7</xdr:row>
      <xdr:rowOff>48211</xdr:rowOff>
    </xdr:from>
    <xdr:to>
      <xdr:col>39</xdr:col>
      <xdr:colOff>618963</xdr:colOff>
      <xdr:row>10</xdr:row>
      <xdr:rowOff>71348</xdr:rowOff>
    </xdr:to>
    <xdr:cxnSp macro="">
      <xdr:nvCxnSpPr>
        <xdr:cNvPr id="109" name="Straight Arrow Connector 15">
          <a:extLst>
            <a:ext uri="{FF2B5EF4-FFF2-40B4-BE49-F238E27FC236}">
              <a16:creationId xmlns:a16="http://schemas.microsoft.com/office/drawing/2014/main" id="{993069F2-4961-A44D-B752-03450608E798}"/>
            </a:ext>
          </a:extLst>
        </xdr:cNvPr>
        <xdr:cNvCxnSpPr>
          <a:stCxn id="107" idx="2"/>
          <a:endCxn id="103" idx="0"/>
        </xdr:cNvCxnSpPr>
      </xdr:nvCxnSpPr>
      <xdr:spPr>
        <a:xfrm rot="5400000">
          <a:off x="34363630" y="1519916"/>
          <a:ext cx="632737" cy="762728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681734</xdr:colOff>
      <xdr:row>13</xdr:row>
      <xdr:rowOff>122149</xdr:rowOff>
    </xdr:from>
    <xdr:to>
      <xdr:col>38</xdr:col>
      <xdr:colOff>690868</xdr:colOff>
      <xdr:row>16</xdr:row>
      <xdr:rowOff>165651</xdr:rowOff>
    </xdr:to>
    <xdr:cxnSp macro="">
      <xdr:nvCxnSpPr>
        <xdr:cNvPr id="110" name="Straight Arrow Connector 15">
          <a:extLst>
            <a:ext uri="{FF2B5EF4-FFF2-40B4-BE49-F238E27FC236}">
              <a16:creationId xmlns:a16="http://schemas.microsoft.com/office/drawing/2014/main" id="{59AB4055-4BAE-B049-9164-09C551112493}"/>
            </a:ext>
          </a:extLst>
        </xdr:cNvPr>
        <xdr:cNvCxnSpPr>
          <a:stCxn id="103" idx="2"/>
          <a:endCxn id="111" idx="0"/>
        </xdr:cNvCxnSpPr>
      </xdr:nvCxnSpPr>
      <xdr:spPr>
        <a:xfrm>
          <a:off x="34298634" y="2878049"/>
          <a:ext cx="9134" cy="65310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368592</xdr:colOff>
      <xdr:row>16</xdr:row>
      <xdr:rowOff>165651</xdr:rowOff>
    </xdr:from>
    <xdr:to>
      <xdr:col>40</xdr:col>
      <xdr:colOff>185503</xdr:colOff>
      <xdr:row>19</xdr:row>
      <xdr:rowOff>76751</xdr:rowOff>
    </xdr:to>
    <xdr:sp macro="" textlink="">
      <xdr:nvSpPr>
        <xdr:cNvPr id="111" name="Rectangle 110">
          <a:extLst>
            <a:ext uri="{FF2B5EF4-FFF2-40B4-BE49-F238E27FC236}">
              <a16:creationId xmlns:a16="http://schemas.microsoft.com/office/drawing/2014/main" id="{27DBA0EF-64B7-5E4C-B1E0-1967529DDB4F}"/>
            </a:ext>
          </a:extLst>
        </xdr:cNvPr>
        <xdr:cNvSpPr/>
      </xdr:nvSpPr>
      <xdr:spPr>
        <a:xfrm>
          <a:off x="33159992" y="3531151"/>
          <a:ext cx="2293411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359834</xdr:colOff>
      <xdr:row>6</xdr:row>
      <xdr:rowOff>95250</xdr:rowOff>
    </xdr:from>
    <xdr:to>
      <xdr:col>8</xdr:col>
      <xdr:colOff>206375</xdr:colOff>
      <xdr:row>11</xdr:row>
      <xdr:rowOff>105833</xdr:rowOff>
    </xdr:to>
    <xdr:cxnSp macro="">
      <xdr:nvCxnSpPr>
        <xdr:cNvPr id="113" name="Elbow Connector 112">
          <a:extLst>
            <a:ext uri="{FF2B5EF4-FFF2-40B4-BE49-F238E27FC236}">
              <a16:creationId xmlns:a16="http://schemas.microsoft.com/office/drawing/2014/main" id="{548BF232-EBD7-A23F-E454-6BF1198DC449}"/>
            </a:ext>
          </a:extLst>
        </xdr:cNvPr>
        <xdr:cNvCxnSpPr/>
      </xdr:nvCxnSpPr>
      <xdr:spPr>
        <a:xfrm flipV="1">
          <a:off x="2942167" y="1449917"/>
          <a:ext cx="6048375" cy="1068916"/>
        </a:xfrm>
        <a:prstGeom prst="bentConnector3">
          <a:avLst/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222250</xdr:colOff>
      <xdr:row>2</xdr:row>
      <xdr:rowOff>158750</xdr:rowOff>
    </xdr:from>
    <xdr:to>
      <xdr:col>9</xdr:col>
      <xdr:colOff>238125</xdr:colOff>
      <xdr:row>6</xdr:row>
      <xdr:rowOff>95250</xdr:rowOff>
    </xdr:to>
    <xdr:cxnSp macro="">
      <xdr:nvCxnSpPr>
        <xdr:cNvPr id="114" name="Elbow Connector 113">
          <a:extLst>
            <a:ext uri="{FF2B5EF4-FFF2-40B4-BE49-F238E27FC236}">
              <a16:creationId xmlns:a16="http://schemas.microsoft.com/office/drawing/2014/main" id="{CD8761B1-87F2-794C-90A3-91F0E53CA5D7}"/>
            </a:ext>
          </a:extLst>
        </xdr:cNvPr>
        <xdr:cNvCxnSpPr/>
      </xdr:nvCxnSpPr>
      <xdr:spPr>
        <a:xfrm flipV="1">
          <a:off x="9032875" y="650875"/>
          <a:ext cx="841375" cy="793750"/>
        </a:xfrm>
        <a:prstGeom prst="bentConnector3">
          <a:avLst/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317499</xdr:colOff>
      <xdr:row>2</xdr:row>
      <xdr:rowOff>158749</xdr:rowOff>
    </xdr:from>
    <xdr:to>
      <xdr:col>39</xdr:col>
      <xdr:colOff>492125</xdr:colOff>
      <xdr:row>14</xdr:row>
      <xdr:rowOff>79375</xdr:rowOff>
    </xdr:to>
    <xdr:cxnSp macro="">
      <xdr:nvCxnSpPr>
        <xdr:cNvPr id="117" name="Elbow Connector 116">
          <a:extLst>
            <a:ext uri="{FF2B5EF4-FFF2-40B4-BE49-F238E27FC236}">
              <a16:creationId xmlns:a16="http://schemas.microsoft.com/office/drawing/2014/main" id="{8189282A-4266-1948-B7BD-A1593E149B96}"/>
            </a:ext>
          </a:extLst>
        </xdr:cNvPr>
        <xdr:cNvCxnSpPr/>
      </xdr:nvCxnSpPr>
      <xdr:spPr>
        <a:xfrm>
          <a:off x="9953624" y="650874"/>
          <a:ext cx="25003126" cy="2428876"/>
        </a:xfrm>
        <a:prstGeom prst="bentConnector3">
          <a:avLst>
            <a:gd name="adj1" fmla="val 103905"/>
          </a:avLst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777875</xdr:colOff>
      <xdr:row>14</xdr:row>
      <xdr:rowOff>79375</xdr:rowOff>
    </xdr:from>
    <xdr:to>
      <xdr:col>39</xdr:col>
      <xdr:colOff>381000</xdr:colOff>
      <xdr:row>15</xdr:row>
      <xdr:rowOff>47625</xdr:rowOff>
    </xdr:to>
    <xdr:cxnSp macro="">
      <xdr:nvCxnSpPr>
        <xdr:cNvPr id="129" name="Elbow Connector 128">
          <a:extLst>
            <a:ext uri="{FF2B5EF4-FFF2-40B4-BE49-F238E27FC236}">
              <a16:creationId xmlns:a16="http://schemas.microsoft.com/office/drawing/2014/main" id="{78FA8C91-59F2-A345-B9CE-89ED6FB15E0F}"/>
            </a:ext>
          </a:extLst>
        </xdr:cNvPr>
        <xdr:cNvCxnSpPr/>
      </xdr:nvCxnSpPr>
      <xdr:spPr>
        <a:xfrm flipV="1">
          <a:off x="11239500" y="3079750"/>
          <a:ext cx="23606125" cy="174625"/>
        </a:xfrm>
        <a:prstGeom prst="bentConnector3">
          <a:avLst>
            <a:gd name="adj1" fmla="val 50000"/>
          </a:avLst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338667</xdr:colOff>
      <xdr:row>15</xdr:row>
      <xdr:rowOff>21168</xdr:rowOff>
    </xdr:from>
    <xdr:to>
      <xdr:col>10</xdr:col>
      <xdr:colOff>381002</xdr:colOff>
      <xdr:row>18</xdr:row>
      <xdr:rowOff>0</xdr:rowOff>
    </xdr:to>
    <xdr:cxnSp macro="">
      <xdr:nvCxnSpPr>
        <xdr:cNvPr id="137" name="Elbow Connector 136">
          <a:extLst>
            <a:ext uri="{FF2B5EF4-FFF2-40B4-BE49-F238E27FC236}">
              <a16:creationId xmlns:a16="http://schemas.microsoft.com/office/drawing/2014/main" id="{908E7907-F202-4D41-9AF6-E3A06ECE3C6A}"/>
            </a:ext>
          </a:extLst>
        </xdr:cNvPr>
        <xdr:cNvCxnSpPr/>
      </xdr:nvCxnSpPr>
      <xdr:spPr>
        <a:xfrm flipV="1">
          <a:off x="2921000" y="3280835"/>
          <a:ext cx="7895169" cy="613832"/>
        </a:xfrm>
        <a:prstGeom prst="bentConnector3">
          <a:avLst>
            <a:gd name="adj1" fmla="val 50000"/>
          </a:avLst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359835</xdr:colOff>
      <xdr:row>12</xdr:row>
      <xdr:rowOff>63499</xdr:rowOff>
    </xdr:from>
    <xdr:to>
      <xdr:col>2</xdr:col>
      <xdr:colOff>381001</xdr:colOff>
      <xdr:row>17</xdr:row>
      <xdr:rowOff>126999</xdr:rowOff>
    </xdr:to>
    <xdr:cxnSp macro="">
      <xdr:nvCxnSpPr>
        <xdr:cNvPr id="142" name="Elbow Connector 141">
          <a:extLst>
            <a:ext uri="{FF2B5EF4-FFF2-40B4-BE49-F238E27FC236}">
              <a16:creationId xmlns:a16="http://schemas.microsoft.com/office/drawing/2014/main" id="{A6DFA1DD-8C4B-D242-8391-38E95AC2F9EF}"/>
            </a:ext>
          </a:extLst>
        </xdr:cNvPr>
        <xdr:cNvCxnSpPr/>
      </xdr:nvCxnSpPr>
      <xdr:spPr>
        <a:xfrm rot="5400000">
          <a:off x="2391834" y="3238500"/>
          <a:ext cx="1121833" cy="21166"/>
        </a:xfrm>
        <a:prstGeom prst="bentConnector3">
          <a:avLst/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805056</xdr:colOff>
      <xdr:row>26</xdr:row>
      <xdr:rowOff>1</xdr:rowOff>
    </xdr:from>
    <xdr:to>
      <xdr:col>6</xdr:col>
      <xdr:colOff>108415</xdr:colOff>
      <xdr:row>28</xdr:row>
      <xdr:rowOff>92927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AF6591E-91C4-AE46-893F-EADED03A6257}"/>
            </a:ext>
          </a:extLst>
        </xdr:cNvPr>
        <xdr:cNvSpPr/>
      </xdr:nvSpPr>
      <xdr:spPr>
        <a:xfrm>
          <a:off x="5631056" y="5397501"/>
          <a:ext cx="1271859" cy="727926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0</xdr:colOff>
      <xdr:row>8</xdr:row>
      <xdr:rowOff>101600</xdr:rowOff>
    </xdr:from>
    <xdr:to>
      <xdr:col>7</xdr:col>
      <xdr:colOff>38100</xdr:colOff>
      <xdr:row>11</xdr:row>
      <xdr:rowOff>63500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3F656D29-BC43-0D4A-B5D5-DF06C4A2B3DF}"/>
            </a:ext>
          </a:extLst>
        </xdr:cNvPr>
        <xdr:cNvSpPr/>
      </xdr:nvSpPr>
      <xdr:spPr>
        <a:xfrm>
          <a:off x="6794500" y="1841500"/>
          <a:ext cx="1206500" cy="5715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0</xdr:colOff>
      <xdr:row>25</xdr:row>
      <xdr:rowOff>177800</xdr:rowOff>
    </xdr:from>
    <xdr:to>
      <xdr:col>4</xdr:col>
      <xdr:colOff>38100</xdr:colOff>
      <xdr:row>28</xdr:row>
      <xdr:rowOff>76200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684C21D-EA29-FF47-B843-2361F9E5FD18}"/>
            </a:ext>
          </a:extLst>
        </xdr:cNvPr>
        <xdr:cNvSpPr/>
      </xdr:nvSpPr>
      <xdr:spPr>
        <a:xfrm>
          <a:off x="2590800" y="5372100"/>
          <a:ext cx="2273300" cy="7366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0</xdr:colOff>
      <xdr:row>13</xdr:row>
      <xdr:rowOff>152400</xdr:rowOff>
    </xdr:from>
    <xdr:to>
      <xdr:col>2</xdr:col>
      <xdr:colOff>0</xdr:colOff>
      <xdr:row>16</xdr:row>
      <xdr:rowOff>76200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2E3DECFF-1195-5546-9751-993E3128808E}"/>
            </a:ext>
          </a:extLst>
        </xdr:cNvPr>
        <xdr:cNvSpPr/>
      </xdr:nvSpPr>
      <xdr:spPr>
        <a:xfrm>
          <a:off x="1485900" y="2908300"/>
          <a:ext cx="1104900" cy="5334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1019408</xdr:colOff>
      <xdr:row>18</xdr:row>
      <xdr:rowOff>123902</xdr:rowOff>
    </xdr:from>
    <xdr:to>
      <xdr:col>6</xdr:col>
      <xdr:colOff>1099634</xdr:colOff>
      <xdr:row>21</xdr:row>
      <xdr:rowOff>123903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1C2FD360-2667-D748-B3D8-FB72CE7CC819}"/>
            </a:ext>
          </a:extLst>
        </xdr:cNvPr>
        <xdr:cNvSpPr/>
      </xdr:nvSpPr>
      <xdr:spPr>
        <a:xfrm>
          <a:off x="6670908" y="3895802"/>
          <a:ext cx="1223226" cy="60960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0</xdr:colOff>
      <xdr:row>15</xdr:row>
      <xdr:rowOff>6350</xdr:rowOff>
    </xdr:from>
    <xdr:to>
      <xdr:col>2</xdr:col>
      <xdr:colOff>584200</xdr:colOff>
      <xdr:row>15</xdr:row>
      <xdr:rowOff>12700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6D9534AE-F58B-914C-B51D-0B82F3AC2373}"/>
            </a:ext>
          </a:extLst>
        </xdr:cNvPr>
        <xdr:cNvCxnSpPr>
          <a:stCxn id="5" idx="3"/>
          <a:endCxn id="8" idx="1"/>
        </xdr:cNvCxnSpPr>
      </xdr:nvCxnSpPr>
      <xdr:spPr>
        <a:xfrm flipV="1">
          <a:off x="2590800" y="3168650"/>
          <a:ext cx="584200" cy="635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584200</xdr:colOff>
      <xdr:row>13</xdr:row>
      <xdr:rowOff>25400</xdr:rowOff>
    </xdr:from>
    <xdr:to>
      <xdr:col>4</xdr:col>
      <xdr:colOff>266700</xdr:colOff>
      <xdr:row>16</xdr:row>
      <xdr:rowOff>190500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B4DF038E-7C73-CD41-BFC6-C307F6E8804D}"/>
            </a:ext>
          </a:extLst>
        </xdr:cNvPr>
        <xdr:cNvSpPr/>
      </xdr:nvSpPr>
      <xdr:spPr>
        <a:xfrm>
          <a:off x="3175000" y="2781300"/>
          <a:ext cx="1917700" cy="774700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Teardown of</a:t>
          </a:r>
          <a:r>
            <a:rPr lang="en-GB" sz="1400" b="1" baseline="0"/>
            <a:t> cell</a:t>
          </a:r>
          <a:endParaRPr lang="en-GB" sz="1400" b="1"/>
        </a:p>
      </xdr:txBody>
    </xdr:sp>
    <xdr:clientData/>
  </xdr:twoCellAnchor>
  <xdr:twoCellAnchor>
    <xdr:from>
      <xdr:col>4</xdr:col>
      <xdr:colOff>266700</xdr:colOff>
      <xdr:row>9</xdr:row>
      <xdr:rowOff>184150</xdr:rowOff>
    </xdr:from>
    <xdr:to>
      <xdr:col>6</xdr:col>
      <xdr:colOff>0</xdr:colOff>
      <xdr:row>15</xdr:row>
      <xdr:rowOff>6350</xdr:rowOff>
    </xdr:to>
    <xdr:cxnSp macro="">
      <xdr:nvCxnSpPr>
        <xdr:cNvPr id="9" name="Straight Arrow Connector 15">
          <a:extLst>
            <a:ext uri="{FF2B5EF4-FFF2-40B4-BE49-F238E27FC236}">
              <a16:creationId xmlns:a16="http://schemas.microsoft.com/office/drawing/2014/main" id="{53043977-5B96-394C-80D0-533FA848816B}"/>
            </a:ext>
          </a:extLst>
        </xdr:cNvPr>
        <xdr:cNvCxnSpPr>
          <a:stCxn id="8" idx="3"/>
          <a:endCxn id="3" idx="1"/>
        </xdr:cNvCxnSpPr>
      </xdr:nvCxnSpPr>
      <xdr:spPr>
        <a:xfrm flipV="1">
          <a:off x="5092700" y="2127250"/>
          <a:ext cx="1701800" cy="10414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15</xdr:row>
      <xdr:rowOff>7280</xdr:rowOff>
    </xdr:from>
    <xdr:to>
      <xdr:col>5</xdr:col>
      <xdr:colOff>1019408</xdr:colOff>
      <xdr:row>20</xdr:row>
      <xdr:rowOff>23232</xdr:rowOff>
    </xdr:to>
    <xdr:cxnSp macro="">
      <xdr:nvCxnSpPr>
        <xdr:cNvPr id="10" name="Straight Arrow Connector 19">
          <a:extLst>
            <a:ext uri="{FF2B5EF4-FFF2-40B4-BE49-F238E27FC236}">
              <a16:creationId xmlns:a16="http://schemas.microsoft.com/office/drawing/2014/main" id="{4EB06DE3-FF07-AE4D-A165-FD46E3BB14B1}"/>
            </a:ext>
          </a:extLst>
        </xdr:cNvPr>
        <xdr:cNvCxnSpPr>
          <a:stCxn id="8" idx="3"/>
          <a:endCxn id="6" idx="1"/>
        </xdr:cNvCxnSpPr>
      </xdr:nvCxnSpPr>
      <xdr:spPr>
        <a:xfrm>
          <a:off x="5092700" y="3169580"/>
          <a:ext cx="1578208" cy="1031952"/>
        </a:xfrm>
        <a:prstGeom prst="bentConnector3">
          <a:avLst>
            <a:gd name="adj1" fmla="val 53937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971550</xdr:colOff>
      <xdr:row>16</xdr:row>
      <xdr:rowOff>190500</xdr:rowOff>
    </xdr:from>
    <xdr:to>
      <xdr:col>3</xdr:col>
      <xdr:colOff>298450</xdr:colOff>
      <xdr:row>25</xdr:row>
      <xdr:rowOff>177800</xdr:rowOff>
    </xdr:to>
    <xdr:cxnSp macro="">
      <xdr:nvCxnSpPr>
        <xdr:cNvPr id="11" name="Straight Arrow Connector 26">
          <a:extLst>
            <a:ext uri="{FF2B5EF4-FFF2-40B4-BE49-F238E27FC236}">
              <a16:creationId xmlns:a16="http://schemas.microsoft.com/office/drawing/2014/main" id="{CBD8BCD5-BB1C-D948-8110-50E62F978CB8}"/>
            </a:ext>
          </a:extLst>
        </xdr:cNvPr>
        <xdr:cNvCxnSpPr>
          <a:stCxn id="8" idx="2"/>
          <a:endCxn id="4" idx="0"/>
        </xdr:cNvCxnSpPr>
      </xdr:nvCxnSpPr>
      <xdr:spPr>
        <a:xfrm rot="5400000">
          <a:off x="2857500" y="4260850"/>
          <a:ext cx="1816100" cy="4064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711200</xdr:colOff>
      <xdr:row>10</xdr:row>
      <xdr:rowOff>152400</xdr:rowOff>
    </xdr:from>
    <xdr:to>
      <xdr:col>10</xdr:col>
      <xdr:colOff>647700</xdr:colOff>
      <xdr:row>14</xdr:row>
      <xdr:rowOff>114300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7237A82E-F03E-B146-BF68-3175C7A3C3AC}"/>
            </a:ext>
          </a:extLst>
        </xdr:cNvPr>
        <xdr:cNvSpPr/>
      </xdr:nvSpPr>
      <xdr:spPr>
        <a:xfrm>
          <a:off x="9499600" y="2298700"/>
          <a:ext cx="2311400" cy="774700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Cathode</a:t>
          </a:r>
          <a:r>
            <a:rPr lang="en-GB" sz="1400" b="1" baseline="0"/>
            <a:t> washing</a:t>
          </a:r>
          <a:endParaRPr lang="en-GB" sz="1400" b="1"/>
        </a:p>
      </xdr:txBody>
    </xdr:sp>
    <xdr:clientData/>
  </xdr:twoCellAnchor>
  <xdr:twoCellAnchor>
    <xdr:from>
      <xdr:col>7</xdr:col>
      <xdr:colOff>38100</xdr:colOff>
      <xdr:row>9</xdr:row>
      <xdr:rowOff>184150</xdr:rowOff>
    </xdr:from>
    <xdr:to>
      <xdr:col>8</xdr:col>
      <xdr:colOff>711200</xdr:colOff>
      <xdr:row>12</xdr:row>
      <xdr:rowOff>133350</xdr:rowOff>
    </xdr:to>
    <xdr:cxnSp macro="">
      <xdr:nvCxnSpPr>
        <xdr:cNvPr id="13" name="Straight Arrow Connector 15">
          <a:extLst>
            <a:ext uri="{FF2B5EF4-FFF2-40B4-BE49-F238E27FC236}">
              <a16:creationId xmlns:a16="http://schemas.microsoft.com/office/drawing/2014/main" id="{676128E6-1FB8-DF4F-B210-FD1229C45D6B}"/>
            </a:ext>
          </a:extLst>
        </xdr:cNvPr>
        <xdr:cNvCxnSpPr>
          <a:stCxn id="3" idx="3"/>
          <a:endCxn id="12" idx="1"/>
        </xdr:cNvCxnSpPr>
      </xdr:nvCxnSpPr>
      <xdr:spPr>
        <a:xfrm>
          <a:off x="8001000" y="2127250"/>
          <a:ext cx="1498600" cy="5588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723900</xdr:colOff>
      <xdr:row>3</xdr:row>
      <xdr:rowOff>190500</xdr:rowOff>
    </xdr:from>
    <xdr:to>
      <xdr:col>10</xdr:col>
      <xdr:colOff>622300</xdr:colOff>
      <xdr:row>6</xdr:row>
      <xdr:rowOff>38100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B8C187E3-A1A5-A04A-9729-A4C9A8CD01DB}"/>
            </a:ext>
          </a:extLst>
        </xdr:cNvPr>
        <xdr:cNvSpPr/>
      </xdr:nvSpPr>
      <xdr:spPr>
        <a:xfrm>
          <a:off x="9512300" y="876300"/>
          <a:ext cx="22733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673100</xdr:colOff>
      <xdr:row>6</xdr:row>
      <xdr:rowOff>38100</xdr:rowOff>
    </xdr:from>
    <xdr:to>
      <xdr:col>9</xdr:col>
      <xdr:colOff>679450</xdr:colOff>
      <xdr:row>10</xdr:row>
      <xdr:rowOff>152400</xdr:rowOff>
    </xdr:to>
    <xdr:cxnSp macro="">
      <xdr:nvCxnSpPr>
        <xdr:cNvPr id="15" name="Straight Arrow Connector 15">
          <a:extLst>
            <a:ext uri="{FF2B5EF4-FFF2-40B4-BE49-F238E27FC236}">
              <a16:creationId xmlns:a16="http://schemas.microsoft.com/office/drawing/2014/main" id="{A0389D5E-6234-4A46-8C59-970F4A74D939}"/>
            </a:ext>
          </a:extLst>
        </xdr:cNvPr>
        <xdr:cNvCxnSpPr>
          <a:stCxn id="14" idx="2"/>
          <a:endCxn id="12" idx="0"/>
        </xdr:cNvCxnSpPr>
      </xdr:nvCxnSpPr>
      <xdr:spPr>
        <a:xfrm rot="16200000" flipH="1">
          <a:off x="9940925" y="1831975"/>
          <a:ext cx="927100" cy="635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762000</xdr:colOff>
      <xdr:row>3</xdr:row>
      <xdr:rowOff>190500</xdr:rowOff>
    </xdr:from>
    <xdr:to>
      <xdr:col>12</xdr:col>
      <xdr:colOff>660400</xdr:colOff>
      <xdr:row>6</xdr:row>
      <xdr:rowOff>38100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F4AF229-265A-4F47-B8D9-930DC75C6967}"/>
            </a:ext>
          </a:extLst>
        </xdr:cNvPr>
        <xdr:cNvSpPr/>
      </xdr:nvSpPr>
      <xdr:spPr>
        <a:xfrm>
          <a:off x="11925300" y="876300"/>
          <a:ext cx="15494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723900</xdr:colOff>
      <xdr:row>10</xdr:row>
      <xdr:rowOff>152400</xdr:rowOff>
    </xdr:from>
    <xdr:to>
      <xdr:col>13</xdr:col>
      <xdr:colOff>355600</xdr:colOff>
      <xdr:row>13</xdr:row>
      <xdr:rowOff>38100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CA31CE68-C24C-C34D-B306-FEEF5A098586}"/>
            </a:ext>
          </a:extLst>
        </xdr:cNvPr>
        <xdr:cNvSpPr/>
      </xdr:nvSpPr>
      <xdr:spPr>
        <a:xfrm>
          <a:off x="12712700" y="2298700"/>
          <a:ext cx="12827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647700</xdr:colOff>
      <xdr:row>11</xdr:row>
      <xdr:rowOff>196850</xdr:rowOff>
    </xdr:from>
    <xdr:to>
      <xdr:col>11</xdr:col>
      <xdr:colOff>723900</xdr:colOff>
      <xdr:row>12</xdr:row>
      <xdr:rowOff>133350</xdr:rowOff>
    </xdr:to>
    <xdr:cxnSp macro="">
      <xdr:nvCxnSpPr>
        <xdr:cNvPr id="18" name="Straight Arrow Connector 15">
          <a:extLst>
            <a:ext uri="{FF2B5EF4-FFF2-40B4-BE49-F238E27FC236}">
              <a16:creationId xmlns:a16="http://schemas.microsoft.com/office/drawing/2014/main" id="{3B3BD58A-3F21-7343-8001-1AA5DBB216B8}"/>
            </a:ext>
          </a:extLst>
        </xdr:cNvPr>
        <xdr:cNvCxnSpPr>
          <a:stCxn id="12" idx="3"/>
          <a:endCxn id="17" idx="1"/>
        </xdr:cNvCxnSpPr>
      </xdr:nvCxnSpPr>
      <xdr:spPr>
        <a:xfrm flipV="1">
          <a:off x="11811000" y="2546350"/>
          <a:ext cx="901700" cy="1397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679450</xdr:colOff>
      <xdr:row>6</xdr:row>
      <xdr:rowOff>38100</xdr:rowOff>
    </xdr:from>
    <xdr:to>
      <xdr:col>11</xdr:col>
      <xdr:colOff>711200</xdr:colOff>
      <xdr:row>10</xdr:row>
      <xdr:rowOff>152400</xdr:rowOff>
    </xdr:to>
    <xdr:cxnSp macro="">
      <xdr:nvCxnSpPr>
        <xdr:cNvPr id="19" name="Straight Arrow Connector 15">
          <a:extLst>
            <a:ext uri="{FF2B5EF4-FFF2-40B4-BE49-F238E27FC236}">
              <a16:creationId xmlns:a16="http://schemas.microsoft.com/office/drawing/2014/main" id="{3ECB1194-9BC6-FC43-A355-F0F5F4EE44C4}"/>
            </a:ext>
          </a:extLst>
        </xdr:cNvPr>
        <xdr:cNvCxnSpPr>
          <a:stCxn id="12" idx="0"/>
          <a:endCxn id="16" idx="2"/>
        </xdr:cNvCxnSpPr>
      </xdr:nvCxnSpPr>
      <xdr:spPr>
        <a:xfrm rot="5400000" flipH="1" flipV="1">
          <a:off x="11090275" y="688975"/>
          <a:ext cx="927100" cy="229235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292100</xdr:colOff>
      <xdr:row>10</xdr:row>
      <xdr:rowOff>12700</xdr:rowOff>
    </xdr:from>
    <xdr:to>
      <xdr:col>16</xdr:col>
      <xdr:colOff>228600</xdr:colOff>
      <xdr:row>13</xdr:row>
      <xdr:rowOff>177800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9D53A7D2-D09D-9341-8A47-511E05261F82}"/>
            </a:ext>
          </a:extLst>
        </xdr:cNvPr>
        <xdr:cNvSpPr/>
      </xdr:nvSpPr>
      <xdr:spPr>
        <a:xfrm>
          <a:off x="14757400" y="2159000"/>
          <a:ext cx="1587500" cy="774700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Separation of Al</a:t>
          </a:r>
          <a:r>
            <a:rPr lang="en-GB" sz="1400" b="1" baseline="0"/>
            <a:t> and black mass</a:t>
          </a:r>
          <a:endParaRPr lang="en-GB" sz="1400" b="1"/>
        </a:p>
      </xdr:txBody>
    </xdr:sp>
    <xdr:clientData/>
  </xdr:twoCellAnchor>
  <xdr:twoCellAnchor>
    <xdr:from>
      <xdr:col>13</xdr:col>
      <xdr:colOff>355600</xdr:colOff>
      <xdr:row>11</xdr:row>
      <xdr:rowOff>196850</xdr:rowOff>
    </xdr:from>
    <xdr:to>
      <xdr:col>14</xdr:col>
      <xdr:colOff>292100</xdr:colOff>
      <xdr:row>11</xdr:row>
      <xdr:rowOff>196850</xdr:rowOff>
    </xdr:to>
    <xdr:cxnSp macro="">
      <xdr:nvCxnSpPr>
        <xdr:cNvPr id="21" name="Straight Arrow Connector 15">
          <a:extLst>
            <a:ext uri="{FF2B5EF4-FFF2-40B4-BE49-F238E27FC236}">
              <a16:creationId xmlns:a16="http://schemas.microsoft.com/office/drawing/2014/main" id="{28BB426B-473E-554A-8AD0-2F7AE17022C7}"/>
            </a:ext>
          </a:extLst>
        </xdr:cNvPr>
        <xdr:cNvCxnSpPr>
          <a:stCxn id="17" idx="3"/>
          <a:endCxn id="20" idx="1"/>
        </xdr:cNvCxnSpPr>
      </xdr:nvCxnSpPr>
      <xdr:spPr>
        <a:xfrm>
          <a:off x="13995400" y="2546350"/>
          <a:ext cx="762000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802888</xdr:colOff>
      <xdr:row>10</xdr:row>
      <xdr:rowOff>152400</xdr:rowOff>
    </xdr:from>
    <xdr:to>
      <xdr:col>18</xdr:col>
      <xdr:colOff>561588</xdr:colOff>
      <xdr:row>13</xdr:row>
      <xdr:rowOff>38100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A2115819-8F66-384B-9F0A-0618E85BC99A}"/>
            </a:ext>
          </a:extLst>
        </xdr:cNvPr>
        <xdr:cNvSpPr/>
      </xdr:nvSpPr>
      <xdr:spPr>
        <a:xfrm>
          <a:off x="16919188" y="2298700"/>
          <a:ext cx="14097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228600</xdr:colOff>
      <xdr:row>11</xdr:row>
      <xdr:rowOff>195920</xdr:rowOff>
    </xdr:from>
    <xdr:to>
      <xdr:col>16</xdr:col>
      <xdr:colOff>802888</xdr:colOff>
      <xdr:row>11</xdr:row>
      <xdr:rowOff>195920</xdr:rowOff>
    </xdr:to>
    <xdr:cxnSp macro="">
      <xdr:nvCxnSpPr>
        <xdr:cNvPr id="23" name="Straight Arrow Connector 15">
          <a:extLst>
            <a:ext uri="{FF2B5EF4-FFF2-40B4-BE49-F238E27FC236}">
              <a16:creationId xmlns:a16="http://schemas.microsoft.com/office/drawing/2014/main" id="{6BE67077-2936-CD40-89CB-848289C7F275}"/>
            </a:ext>
          </a:extLst>
        </xdr:cNvPr>
        <xdr:cNvCxnSpPr>
          <a:stCxn id="20" idx="3"/>
          <a:endCxn id="22" idx="1"/>
        </xdr:cNvCxnSpPr>
      </xdr:nvCxnSpPr>
      <xdr:spPr>
        <a:xfrm>
          <a:off x="16344900" y="2545420"/>
          <a:ext cx="574288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260350</xdr:colOff>
      <xdr:row>13</xdr:row>
      <xdr:rowOff>177800</xdr:rowOff>
    </xdr:from>
    <xdr:to>
      <xdr:col>16</xdr:col>
      <xdr:colOff>812800</xdr:colOff>
      <xdr:row>17</xdr:row>
      <xdr:rowOff>0</xdr:rowOff>
    </xdr:to>
    <xdr:cxnSp macro="">
      <xdr:nvCxnSpPr>
        <xdr:cNvPr id="24" name="Straight Arrow Connector 15">
          <a:extLst>
            <a:ext uri="{FF2B5EF4-FFF2-40B4-BE49-F238E27FC236}">
              <a16:creationId xmlns:a16="http://schemas.microsoft.com/office/drawing/2014/main" id="{B8194020-84BA-D74C-AD9D-FE2E4AB70404}"/>
            </a:ext>
          </a:extLst>
        </xdr:cNvPr>
        <xdr:cNvCxnSpPr>
          <a:stCxn id="20" idx="2"/>
          <a:endCxn id="25" idx="1"/>
        </xdr:cNvCxnSpPr>
      </xdr:nvCxnSpPr>
      <xdr:spPr>
        <a:xfrm rot="16200000" flipH="1">
          <a:off x="15922625" y="2562225"/>
          <a:ext cx="635000" cy="1377950"/>
        </a:xfrm>
        <a:prstGeom prst="bentConnector2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812800</xdr:colOff>
      <xdr:row>15</xdr:row>
      <xdr:rowOff>127000</xdr:rowOff>
    </xdr:from>
    <xdr:to>
      <xdr:col>19</xdr:col>
      <xdr:colOff>101600</xdr:colOff>
      <xdr:row>18</xdr:row>
      <xdr:rowOff>76200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3FB63813-AA56-7441-8A08-BF6D6A5B01C8}"/>
            </a:ext>
          </a:extLst>
        </xdr:cNvPr>
        <xdr:cNvSpPr/>
      </xdr:nvSpPr>
      <xdr:spPr>
        <a:xfrm>
          <a:off x="16929100" y="3289300"/>
          <a:ext cx="1765300" cy="5588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14</xdr:col>
      <xdr:colOff>800100</xdr:colOff>
      <xdr:row>3</xdr:row>
      <xdr:rowOff>165100</xdr:rowOff>
    </xdr:from>
    <xdr:to>
      <xdr:col>16</xdr:col>
      <xdr:colOff>736600</xdr:colOff>
      <xdr:row>6</xdr:row>
      <xdr:rowOff>12700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6198F12A-7935-AA47-82BE-671C5EB2D8ED}"/>
            </a:ext>
          </a:extLst>
        </xdr:cNvPr>
        <xdr:cNvSpPr/>
      </xdr:nvSpPr>
      <xdr:spPr>
        <a:xfrm>
          <a:off x="15265400" y="850900"/>
          <a:ext cx="15875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260350</xdr:colOff>
      <xdr:row>6</xdr:row>
      <xdr:rowOff>12700</xdr:rowOff>
    </xdr:from>
    <xdr:to>
      <xdr:col>15</xdr:col>
      <xdr:colOff>768350</xdr:colOff>
      <xdr:row>10</xdr:row>
      <xdr:rowOff>12700</xdr:rowOff>
    </xdr:to>
    <xdr:cxnSp macro="">
      <xdr:nvCxnSpPr>
        <xdr:cNvPr id="27" name="Straight Arrow Connector 15">
          <a:extLst>
            <a:ext uri="{FF2B5EF4-FFF2-40B4-BE49-F238E27FC236}">
              <a16:creationId xmlns:a16="http://schemas.microsoft.com/office/drawing/2014/main" id="{21BDB5C4-2C01-DD49-8105-7E53511CCBE2}"/>
            </a:ext>
          </a:extLst>
        </xdr:cNvPr>
        <xdr:cNvCxnSpPr>
          <a:stCxn id="20" idx="0"/>
          <a:endCxn id="26" idx="2"/>
        </xdr:cNvCxnSpPr>
      </xdr:nvCxnSpPr>
      <xdr:spPr>
        <a:xfrm rot="5400000" flipH="1" flipV="1">
          <a:off x="15398750" y="1498600"/>
          <a:ext cx="812800" cy="508000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800100</xdr:colOff>
      <xdr:row>15</xdr:row>
      <xdr:rowOff>76200</xdr:rowOff>
    </xdr:from>
    <xdr:to>
      <xdr:col>21</xdr:col>
      <xdr:colOff>736600</xdr:colOff>
      <xdr:row>18</xdr:row>
      <xdr:rowOff>127000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60EBC469-0B7A-C042-A5D0-0B09F2120A71}"/>
            </a:ext>
          </a:extLst>
        </xdr:cNvPr>
        <xdr:cNvSpPr/>
      </xdr:nvSpPr>
      <xdr:spPr>
        <a:xfrm>
          <a:off x="19392900" y="3238500"/>
          <a:ext cx="1587500" cy="660400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Washing of Al foils</a:t>
          </a:r>
        </a:p>
      </xdr:txBody>
    </xdr:sp>
    <xdr:clientData/>
  </xdr:twoCellAnchor>
  <xdr:twoCellAnchor>
    <xdr:from>
      <xdr:col>19</xdr:col>
      <xdr:colOff>101600</xdr:colOff>
      <xdr:row>17</xdr:row>
      <xdr:rowOff>0</xdr:rowOff>
    </xdr:from>
    <xdr:to>
      <xdr:col>19</xdr:col>
      <xdr:colOff>800100</xdr:colOff>
      <xdr:row>17</xdr:row>
      <xdr:rowOff>0</xdr:rowOff>
    </xdr:to>
    <xdr:cxnSp macro="">
      <xdr:nvCxnSpPr>
        <xdr:cNvPr id="29" name="Straight Arrow Connector 15">
          <a:extLst>
            <a:ext uri="{FF2B5EF4-FFF2-40B4-BE49-F238E27FC236}">
              <a16:creationId xmlns:a16="http://schemas.microsoft.com/office/drawing/2014/main" id="{F4174198-3AB9-9E4F-B9E2-4FE0AC4406CE}"/>
            </a:ext>
          </a:extLst>
        </xdr:cNvPr>
        <xdr:cNvCxnSpPr>
          <a:stCxn id="25" idx="3"/>
          <a:endCxn id="28" idx="1"/>
        </xdr:cNvCxnSpPr>
      </xdr:nvCxnSpPr>
      <xdr:spPr>
        <a:xfrm>
          <a:off x="18694400" y="3568700"/>
          <a:ext cx="698500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770363</xdr:colOff>
      <xdr:row>3</xdr:row>
      <xdr:rowOff>190500</xdr:rowOff>
    </xdr:from>
    <xdr:to>
      <xdr:col>21</xdr:col>
      <xdr:colOff>668763</xdr:colOff>
      <xdr:row>6</xdr:row>
      <xdr:rowOff>38100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id="{E91586C3-4F13-D146-8D70-BC64C095C4B6}"/>
            </a:ext>
          </a:extLst>
        </xdr:cNvPr>
        <xdr:cNvSpPr/>
      </xdr:nvSpPr>
      <xdr:spPr>
        <a:xfrm>
          <a:off x="19363163" y="876300"/>
          <a:ext cx="15494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719563</xdr:colOff>
      <xdr:row>6</xdr:row>
      <xdr:rowOff>38099</xdr:rowOff>
    </xdr:from>
    <xdr:to>
      <xdr:col>20</xdr:col>
      <xdr:colOff>768350</xdr:colOff>
      <xdr:row>15</xdr:row>
      <xdr:rowOff>76199</xdr:rowOff>
    </xdr:to>
    <xdr:cxnSp macro="">
      <xdr:nvCxnSpPr>
        <xdr:cNvPr id="31" name="Straight Arrow Connector 15">
          <a:extLst>
            <a:ext uri="{FF2B5EF4-FFF2-40B4-BE49-F238E27FC236}">
              <a16:creationId xmlns:a16="http://schemas.microsoft.com/office/drawing/2014/main" id="{5A2A7A5E-7FC1-8847-BB25-E5B900A1D7F3}"/>
            </a:ext>
          </a:extLst>
        </xdr:cNvPr>
        <xdr:cNvCxnSpPr>
          <a:stCxn id="30" idx="2"/>
          <a:endCxn id="28" idx="0"/>
        </xdr:cNvCxnSpPr>
      </xdr:nvCxnSpPr>
      <xdr:spPr>
        <a:xfrm rot="16200000" flipH="1">
          <a:off x="19228807" y="2280655"/>
          <a:ext cx="1866900" cy="48787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800100</xdr:colOff>
      <xdr:row>3</xdr:row>
      <xdr:rowOff>165100</xdr:rowOff>
    </xdr:from>
    <xdr:to>
      <xdr:col>23</xdr:col>
      <xdr:colOff>736600</xdr:colOff>
      <xdr:row>6</xdr:row>
      <xdr:rowOff>12700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id="{53E6EEA0-AB5C-C741-BB80-110757555DB5}"/>
            </a:ext>
          </a:extLst>
        </xdr:cNvPr>
        <xdr:cNvSpPr/>
      </xdr:nvSpPr>
      <xdr:spPr>
        <a:xfrm>
          <a:off x="21043900" y="850900"/>
          <a:ext cx="15875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22</xdr:col>
      <xdr:colOff>718015</xdr:colOff>
      <xdr:row>15</xdr:row>
      <xdr:rowOff>129788</xdr:rowOff>
    </xdr:from>
    <xdr:to>
      <xdr:col>25</xdr:col>
      <xdr:colOff>6815</xdr:colOff>
      <xdr:row>18</xdr:row>
      <xdr:rowOff>78988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8C44C1EF-1CA2-AD41-B2E7-DD997F9EE402}"/>
            </a:ext>
          </a:extLst>
        </xdr:cNvPr>
        <xdr:cNvSpPr/>
      </xdr:nvSpPr>
      <xdr:spPr>
        <a:xfrm>
          <a:off x="21787315" y="3292088"/>
          <a:ext cx="1765300" cy="5588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21</xdr:col>
      <xdr:colOff>736600</xdr:colOff>
      <xdr:row>17</xdr:row>
      <xdr:rowOff>930</xdr:rowOff>
    </xdr:from>
    <xdr:to>
      <xdr:col>22</xdr:col>
      <xdr:colOff>718015</xdr:colOff>
      <xdr:row>17</xdr:row>
      <xdr:rowOff>3718</xdr:rowOff>
    </xdr:to>
    <xdr:cxnSp macro="">
      <xdr:nvCxnSpPr>
        <xdr:cNvPr id="34" name="Straight Arrow Connector 15">
          <a:extLst>
            <a:ext uri="{FF2B5EF4-FFF2-40B4-BE49-F238E27FC236}">
              <a16:creationId xmlns:a16="http://schemas.microsoft.com/office/drawing/2014/main" id="{D3C8F330-4273-EC4B-A1C2-AAF41C172EAF}"/>
            </a:ext>
          </a:extLst>
        </xdr:cNvPr>
        <xdr:cNvCxnSpPr>
          <a:stCxn id="28" idx="3"/>
          <a:endCxn id="33" idx="1"/>
        </xdr:cNvCxnSpPr>
      </xdr:nvCxnSpPr>
      <xdr:spPr>
        <a:xfrm>
          <a:off x="20980400" y="3569630"/>
          <a:ext cx="806915" cy="2788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802888</xdr:colOff>
      <xdr:row>19</xdr:row>
      <xdr:rowOff>152400</xdr:rowOff>
    </xdr:from>
    <xdr:to>
      <xdr:col>24</xdr:col>
      <xdr:colOff>561588</xdr:colOff>
      <xdr:row>22</xdr:row>
      <xdr:rowOff>38100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id="{1A584A86-DB5F-D348-983A-B27EE0DDBA64}"/>
            </a:ext>
          </a:extLst>
        </xdr:cNvPr>
        <xdr:cNvSpPr/>
      </xdr:nvSpPr>
      <xdr:spPr>
        <a:xfrm>
          <a:off x="21872188" y="4127500"/>
          <a:ext cx="14097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21</xdr:col>
      <xdr:colOff>736600</xdr:colOff>
      <xdr:row>17</xdr:row>
      <xdr:rowOff>930</xdr:rowOff>
    </xdr:from>
    <xdr:to>
      <xdr:col>22</xdr:col>
      <xdr:colOff>802888</xdr:colOff>
      <xdr:row>20</xdr:row>
      <xdr:rowOff>195921</xdr:rowOff>
    </xdr:to>
    <xdr:cxnSp macro="">
      <xdr:nvCxnSpPr>
        <xdr:cNvPr id="36" name="Straight Arrow Connector 15">
          <a:extLst>
            <a:ext uri="{FF2B5EF4-FFF2-40B4-BE49-F238E27FC236}">
              <a16:creationId xmlns:a16="http://schemas.microsoft.com/office/drawing/2014/main" id="{3C840A4A-1935-274A-880E-2CE569340DF4}"/>
            </a:ext>
          </a:extLst>
        </xdr:cNvPr>
        <xdr:cNvCxnSpPr>
          <a:stCxn id="28" idx="3"/>
          <a:endCxn id="35" idx="1"/>
        </xdr:cNvCxnSpPr>
      </xdr:nvCxnSpPr>
      <xdr:spPr>
        <a:xfrm>
          <a:off x="20980400" y="3569630"/>
          <a:ext cx="891788" cy="804591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293804</xdr:colOff>
      <xdr:row>16</xdr:row>
      <xdr:rowOff>190499</xdr:rowOff>
    </xdr:from>
    <xdr:to>
      <xdr:col>5</xdr:col>
      <xdr:colOff>619358</xdr:colOff>
      <xdr:row>26</xdr:row>
      <xdr:rowOff>0</xdr:rowOff>
    </xdr:to>
    <xdr:cxnSp macro="">
      <xdr:nvCxnSpPr>
        <xdr:cNvPr id="37" name="Straight Arrow Connector 26">
          <a:extLst>
            <a:ext uri="{FF2B5EF4-FFF2-40B4-BE49-F238E27FC236}">
              <a16:creationId xmlns:a16="http://schemas.microsoft.com/office/drawing/2014/main" id="{444602C3-B616-6244-B0DE-CD86C377581A}"/>
            </a:ext>
          </a:extLst>
        </xdr:cNvPr>
        <xdr:cNvCxnSpPr>
          <a:stCxn id="8" idx="2"/>
          <a:endCxn id="2" idx="0"/>
        </xdr:cNvCxnSpPr>
      </xdr:nvCxnSpPr>
      <xdr:spPr>
        <a:xfrm rot="16200000" flipH="1">
          <a:off x="4196730" y="3323373"/>
          <a:ext cx="1841501" cy="2306754"/>
        </a:xfrm>
        <a:prstGeom prst="bentConnector3">
          <a:avLst>
            <a:gd name="adj1" fmla="val 4915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718634</xdr:colOff>
      <xdr:row>18</xdr:row>
      <xdr:rowOff>37480</xdr:rowOff>
    </xdr:from>
    <xdr:to>
      <xdr:col>10</xdr:col>
      <xdr:colOff>655134</xdr:colOff>
      <xdr:row>21</xdr:row>
      <xdr:rowOff>200722</xdr:rowOff>
    </xdr:to>
    <xdr:sp macro="" textlink="">
      <xdr:nvSpPr>
        <xdr:cNvPr id="38" name="Rectangle 37">
          <a:extLst>
            <a:ext uri="{FF2B5EF4-FFF2-40B4-BE49-F238E27FC236}">
              <a16:creationId xmlns:a16="http://schemas.microsoft.com/office/drawing/2014/main" id="{BB643825-845D-1140-AAE4-1A36180CA647}"/>
            </a:ext>
          </a:extLst>
        </xdr:cNvPr>
        <xdr:cNvSpPr/>
      </xdr:nvSpPr>
      <xdr:spPr>
        <a:xfrm>
          <a:off x="9507034" y="3809380"/>
          <a:ext cx="2311400" cy="772842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Anode</a:t>
          </a:r>
          <a:r>
            <a:rPr lang="en-GB" sz="1400" b="1" baseline="0"/>
            <a:t> washing</a:t>
          </a:r>
          <a:endParaRPr lang="en-GB" sz="1400" b="1"/>
        </a:p>
      </xdr:txBody>
    </xdr:sp>
    <xdr:clientData/>
  </xdr:twoCellAnchor>
  <xdr:twoCellAnchor>
    <xdr:from>
      <xdr:col>6</xdr:col>
      <xdr:colOff>1099634</xdr:colOff>
      <xdr:row>20</xdr:row>
      <xdr:rowOff>18430</xdr:rowOff>
    </xdr:from>
    <xdr:to>
      <xdr:col>8</xdr:col>
      <xdr:colOff>718634</xdr:colOff>
      <xdr:row>20</xdr:row>
      <xdr:rowOff>23232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DF4FAFF1-6EB3-394B-8691-7287708AD74E}"/>
            </a:ext>
          </a:extLst>
        </xdr:cNvPr>
        <xdr:cNvCxnSpPr>
          <a:stCxn id="6" idx="3"/>
          <a:endCxn id="38" idx="1"/>
        </xdr:cNvCxnSpPr>
      </xdr:nvCxnSpPr>
      <xdr:spPr>
        <a:xfrm flipV="1">
          <a:off x="7894134" y="4196730"/>
          <a:ext cx="1612900" cy="480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723900</xdr:colOff>
      <xdr:row>26</xdr:row>
      <xdr:rowOff>123903</xdr:rowOff>
    </xdr:from>
    <xdr:to>
      <xdr:col>10</xdr:col>
      <xdr:colOff>650488</xdr:colOff>
      <xdr:row>28</xdr:row>
      <xdr:rowOff>108415</xdr:rowOff>
    </xdr:to>
    <xdr:sp macro="" textlink="">
      <xdr:nvSpPr>
        <xdr:cNvPr id="40" name="Rectangle 39">
          <a:extLst>
            <a:ext uri="{FF2B5EF4-FFF2-40B4-BE49-F238E27FC236}">
              <a16:creationId xmlns:a16="http://schemas.microsoft.com/office/drawing/2014/main" id="{2C59179A-1030-5447-99CC-A6ACC0F59988}"/>
            </a:ext>
          </a:extLst>
        </xdr:cNvPr>
        <xdr:cNvSpPr/>
      </xdr:nvSpPr>
      <xdr:spPr>
        <a:xfrm>
          <a:off x="9512300" y="5521403"/>
          <a:ext cx="2301488" cy="619512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686884</xdr:colOff>
      <xdr:row>21</xdr:row>
      <xdr:rowOff>200722</xdr:rowOff>
    </xdr:from>
    <xdr:to>
      <xdr:col>9</xdr:col>
      <xdr:colOff>687194</xdr:colOff>
      <xdr:row>26</xdr:row>
      <xdr:rowOff>123903</xdr:rowOff>
    </xdr:to>
    <xdr:cxnSp macro="">
      <xdr:nvCxnSpPr>
        <xdr:cNvPr id="41" name="Straight Arrow Connector 40">
          <a:extLst>
            <a:ext uri="{FF2B5EF4-FFF2-40B4-BE49-F238E27FC236}">
              <a16:creationId xmlns:a16="http://schemas.microsoft.com/office/drawing/2014/main" id="{A697E0DA-ADA7-BE48-9C57-831821AEC15D}"/>
            </a:ext>
          </a:extLst>
        </xdr:cNvPr>
        <xdr:cNvCxnSpPr>
          <a:stCxn id="40" idx="0"/>
          <a:endCxn id="38" idx="2"/>
        </xdr:cNvCxnSpPr>
      </xdr:nvCxnSpPr>
      <xdr:spPr>
        <a:xfrm flipH="1" flipV="1">
          <a:off x="10415084" y="4582222"/>
          <a:ext cx="310" cy="939181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758903</xdr:colOff>
      <xdr:row>18</xdr:row>
      <xdr:rowOff>123902</xdr:rowOff>
    </xdr:from>
    <xdr:to>
      <xdr:col>13</xdr:col>
      <xdr:colOff>340732</xdr:colOff>
      <xdr:row>21</xdr:row>
      <xdr:rowOff>123903</xdr:rowOff>
    </xdr:to>
    <xdr:sp macro="" textlink="">
      <xdr:nvSpPr>
        <xdr:cNvPr id="42" name="Rectangle 41">
          <a:extLst>
            <a:ext uri="{FF2B5EF4-FFF2-40B4-BE49-F238E27FC236}">
              <a16:creationId xmlns:a16="http://schemas.microsoft.com/office/drawing/2014/main" id="{ADD6D64F-BB72-A44C-B257-7C1A7CE8DCD2}"/>
            </a:ext>
          </a:extLst>
        </xdr:cNvPr>
        <xdr:cNvSpPr/>
      </xdr:nvSpPr>
      <xdr:spPr>
        <a:xfrm>
          <a:off x="12747703" y="3895802"/>
          <a:ext cx="1232829" cy="60960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655134</xdr:colOff>
      <xdr:row>20</xdr:row>
      <xdr:rowOff>18430</xdr:rowOff>
    </xdr:from>
    <xdr:to>
      <xdr:col>11</xdr:col>
      <xdr:colOff>758903</xdr:colOff>
      <xdr:row>20</xdr:row>
      <xdr:rowOff>23232</xdr:rowOff>
    </xdr:to>
    <xdr:cxnSp macro="">
      <xdr:nvCxnSpPr>
        <xdr:cNvPr id="43" name="Straight Arrow Connector 42">
          <a:extLst>
            <a:ext uri="{FF2B5EF4-FFF2-40B4-BE49-F238E27FC236}">
              <a16:creationId xmlns:a16="http://schemas.microsoft.com/office/drawing/2014/main" id="{F30C1466-00BC-4544-B9D8-466A46725CD1}"/>
            </a:ext>
          </a:extLst>
        </xdr:cNvPr>
        <xdr:cNvCxnSpPr>
          <a:stCxn id="38" idx="3"/>
          <a:endCxn id="42" idx="1"/>
        </xdr:cNvCxnSpPr>
      </xdr:nvCxnSpPr>
      <xdr:spPr>
        <a:xfrm>
          <a:off x="11818434" y="4196730"/>
          <a:ext cx="929269" cy="480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707570</xdr:colOff>
      <xdr:row>10</xdr:row>
      <xdr:rowOff>72571</xdr:rowOff>
    </xdr:from>
    <xdr:to>
      <xdr:col>27</xdr:col>
      <xdr:colOff>644071</xdr:colOff>
      <xdr:row>13</xdr:row>
      <xdr:rowOff>123372</xdr:rowOff>
    </xdr:to>
    <xdr:sp macro="" textlink="">
      <xdr:nvSpPr>
        <xdr:cNvPr id="44" name="Rectangle 43">
          <a:extLst>
            <a:ext uri="{FF2B5EF4-FFF2-40B4-BE49-F238E27FC236}">
              <a16:creationId xmlns:a16="http://schemas.microsoft.com/office/drawing/2014/main" id="{2EBA30DB-DC6C-094C-8003-755AD028782F}"/>
            </a:ext>
          </a:extLst>
        </xdr:cNvPr>
        <xdr:cNvSpPr/>
      </xdr:nvSpPr>
      <xdr:spPr>
        <a:xfrm>
          <a:off x="24253370" y="2218871"/>
          <a:ext cx="1587501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Filtering</a:t>
          </a:r>
        </a:p>
      </xdr:txBody>
    </xdr:sp>
    <xdr:clientData/>
  </xdr:twoCellAnchor>
  <xdr:twoCellAnchor>
    <xdr:from>
      <xdr:col>18</xdr:col>
      <xdr:colOff>561588</xdr:colOff>
      <xdr:row>11</xdr:row>
      <xdr:rowOff>195035</xdr:rowOff>
    </xdr:from>
    <xdr:to>
      <xdr:col>25</xdr:col>
      <xdr:colOff>707570</xdr:colOff>
      <xdr:row>11</xdr:row>
      <xdr:rowOff>197757</xdr:rowOff>
    </xdr:to>
    <xdr:cxnSp macro="">
      <xdr:nvCxnSpPr>
        <xdr:cNvPr id="45" name="Straight Arrow Connector 15">
          <a:extLst>
            <a:ext uri="{FF2B5EF4-FFF2-40B4-BE49-F238E27FC236}">
              <a16:creationId xmlns:a16="http://schemas.microsoft.com/office/drawing/2014/main" id="{7759D6EB-DC37-9F43-85AF-3304C310EEAA}"/>
            </a:ext>
          </a:extLst>
        </xdr:cNvPr>
        <xdr:cNvCxnSpPr>
          <a:stCxn id="22" idx="3"/>
          <a:endCxn id="44" idx="1"/>
        </xdr:cNvCxnSpPr>
      </xdr:nvCxnSpPr>
      <xdr:spPr>
        <a:xfrm>
          <a:off x="18328888" y="2544535"/>
          <a:ext cx="5924482" cy="272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561588</xdr:colOff>
      <xdr:row>13</xdr:row>
      <xdr:rowOff>123372</xdr:rowOff>
    </xdr:from>
    <xdr:to>
      <xdr:col>26</xdr:col>
      <xdr:colOff>675821</xdr:colOff>
      <xdr:row>20</xdr:row>
      <xdr:rowOff>195036</xdr:rowOff>
    </xdr:to>
    <xdr:cxnSp macro="">
      <xdr:nvCxnSpPr>
        <xdr:cNvPr id="46" name="Straight Arrow Connector 15">
          <a:extLst>
            <a:ext uri="{FF2B5EF4-FFF2-40B4-BE49-F238E27FC236}">
              <a16:creationId xmlns:a16="http://schemas.microsoft.com/office/drawing/2014/main" id="{98BC76A2-FF05-0C4D-A47A-A85215B8F6F0}"/>
            </a:ext>
          </a:extLst>
        </xdr:cNvPr>
        <xdr:cNvCxnSpPr>
          <a:stCxn id="35" idx="3"/>
          <a:endCxn id="44" idx="2"/>
        </xdr:cNvCxnSpPr>
      </xdr:nvCxnSpPr>
      <xdr:spPr>
        <a:xfrm flipV="1">
          <a:off x="23281888" y="2879272"/>
          <a:ext cx="1765233" cy="1494064"/>
        </a:xfrm>
        <a:prstGeom prst="bentConnector2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709385</xdr:colOff>
      <xdr:row>3</xdr:row>
      <xdr:rowOff>193419</xdr:rowOff>
    </xdr:from>
    <xdr:to>
      <xdr:col>27</xdr:col>
      <xdr:colOff>645886</xdr:colOff>
      <xdr:row>6</xdr:row>
      <xdr:rowOff>41019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8CF8536-9082-6E4F-849E-63EFE117FC2C}"/>
            </a:ext>
          </a:extLst>
        </xdr:cNvPr>
        <xdr:cNvSpPr/>
      </xdr:nvSpPr>
      <xdr:spPr>
        <a:xfrm>
          <a:off x="24255185" y="879219"/>
          <a:ext cx="1587501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26</xdr:col>
      <xdr:colOff>675821</xdr:colOff>
      <xdr:row>6</xdr:row>
      <xdr:rowOff>41019</xdr:rowOff>
    </xdr:from>
    <xdr:to>
      <xdr:col>26</xdr:col>
      <xdr:colOff>677636</xdr:colOff>
      <xdr:row>10</xdr:row>
      <xdr:rowOff>72571</xdr:rowOff>
    </xdr:to>
    <xdr:cxnSp macro="">
      <xdr:nvCxnSpPr>
        <xdr:cNvPr id="48" name="Straight Arrow Connector 15">
          <a:extLst>
            <a:ext uri="{FF2B5EF4-FFF2-40B4-BE49-F238E27FC236}">
              <a16:creationId xmlns:a16="http://schemas.microsoft.com/office/drawing/2014/main" id="{DCE9E501-74D1-DA45-BF04-B1A25E934531}"/>
            </a:ext>
          </a:extLst>
        </xdr:cNvPr>
        <xdr:cNvCxnSpPr>
          <a:stCxn id="47" idx="2"/>
          <a:endCxn id="44" idx="0"/>
        </xdr:cNvCxnSpPr>
      </xdr:nvCxnSpPr>
      <xdr:spPr>
        <a:xfrm flipH="1">
          <a:off x="25047121" y="1374519"/>
          <a:ext cx="1815" cy="84435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716644</xdr:colOff>
      <xdr:row>26</xdr:row>
      <xdr:rowOff>382105</xdr:rowOff>
    </xdr:from>
    <xdr:to>
      <xdr:col>29</xdr:col>
      <xdr:colOff>653144</xdr:colOff>
      <xdr:row>29</xdr:row>
      <xdr:rowOff>48276</xdr:rowOff>
    </xdr:to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id="{62A1EB5C-05AE-034E-BF08-DCFB1D7E83C6}"/>
            </a:ext>
          </a:extLst>
        </xdr:cNvPr>
        <xdr:cNvSpPr/>
      </xdr:nvSpPr>
      <xdr:spPr>
        <a:xfrm>
          <a:off x="25913444" y="5779605"/>
          <a:ext cx="1587500" cy="50437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28</xdr:col>
      <xdr:colOff>783935</xdr:colOff>
      <xdr:row>10</xdr:row>
      <xdr:rowOff>152400</xdr:rowOff>
    </xdr:from>
    <xdr:to>
      <xdr:col>30</xdr:col>
      <xdr:colOff>542635</xdr:colOff>
      <xdr:row>13</xdr:row>
      <xdr:rowOff>38100</xdr:rowOff>
    </xdr:to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id="{EEE0F7AC-715E-BD45-85DA-0CE3BB645E11}"/>
            </a:ext>
          </a:extLst>
        </xdr:cNvPr>
        <xdr:cNvSpPr/>
      </xdr:nvSpPr>
      <xdr:spPr>
        <a:xfrm>
          <a:off x="26806235" y="2298700"/>
          <a:ext cx="1409700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26</xdr:col>
      <xdr:colOff>675821</xdr:colOff>
      <xdr:row>13</xdr:row>
      <xdr:rowOff>123372</xdr:rowOff>
    </xdr:from>
    <xdr:to>
      <xdr:col>28</xdr:col>
      <xdr:colOff>684894</xdr:colOff>
      <xdr:row>26</xdr:row>
      <xdr:rowOff>382105</xdr:rowOff>
    </xdr:to>
    <xdr:cxnSp macro="">
      <xdr:nvCxnSpPr>
        <xdr:cNvPr id="51" name="Straight Arrow Connector 15">
          <a:extLst>
            <a:ext uri="{FF2B5EF4-FFF2-40B4-BE49-F238E27FC236}">
              <a16:creationId xmlns:a16="http://schemas.microsoft.com/office/drawing/2014/main" id="{BE7462B3-0B47-0F4B-AF08-BEB5BAA904B2}"/>
            </a:ext>
          </a:extLst>
        </xdr:cNvPr>
        <xdr:cNvCxnSpPr>
          <a:stCxn id="44" idx="2"/>
          <a:endCxn id="49" idx="0"/>
        </xdr:cNvCxnSpPr>
      </xdr:nvCxnSpPr>
      <xdr:spPr>
        <a:xfrm rot="16200000" flipH="1">
          <a:off x="24426991" y="3499402"/>
          <a:ext cx="2900333" cy="1660073"/>
        </a:xfrm>
        <a:prstGeom prst="bentConnector3">
          <a:avLst>
            <a:gd name="adj1" fmla="val 51915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644071</xdr:colOff>
      <xdr:row>11</xdr:row>
      <xdr:rowOff>199504</xdr:rowOff>
    </xdr:from>
    <xdr:to>
      <xdr:col>28</xdr:col>
      <xdr:colOff>783935</xdr:colOff>
      <xdr:row>11</xdr:row>
      <xdr:rowOff>202226</xdr:rowOff>
    </xdr:to>
    <xdr:cxnSp macro="">
      <xdr:nvCxnSpPr>
        <xdr:cNvPr id="52" name="Straight Arrow Connector 15">
          <a:extLst>
            <a:ext uri="{FF2B5EF4-FFF2-40B4-BE49-F238E27FC236}">
              <a16:creationId xmlns:a16="http://schemas.microsoft.com/office/drawing/2014/main" id="{3B4309FC-4AF8-D443-8F12-9FE110223BEF}"/>
            </a:ext>
          </a:extLst>
        </xdr:cNvPr>
        <xdr:cNvCxnSpPr>
          <a:stCxn id="44" idx="3"/>
          <a:endCxn id="50" idx="1"/>
        </xdr:cNvCxnSpPr>
      </xdr:nvCxnSpPr>
      <xdr:spPr>
        <a:xfrm flipV="1">
          <a:off x="25840871" y="2549004"/>
          <a:ext cx="965364" cy="272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751114</xdr:colOff>
      <xdr:row>10</xdr:row>
      <xdr:rowOff>61685</xdr:rowOff>
    </xdr:from>
    <xdr:to>
      <xdr:col>33</xdr:col>
      <xdr:colOff>687614</xdr:colOff>
      <xdr:row>13</xdr:row>
      <xdr:rowOff>112486</xdr:rowOff>
    </xdr:to>
    <xdr:sp macro="" textlink="">
      <xdr:nvSpPr>
        <xdr:cNvPr id="53" name="Rectangle 52">
          <a:extLst>
            <a:ext uri="{FF2B5EF4-FFF2-40B4-BE49-F238E27FC236}">
              <a16:creationId xmlns:a16="http://schemas.microsoft.com/office/drawing/2014/main" id="{C9956210-FFD4-A749-9959-6D7E1005B6CC}"/>
            </a:ext>
          </a:extLst>
        </xdr:cNvPr>
        <xdr:cNvSpPr/>
      </xdr:nvSpPr>
      <xdr:spPr>
        <a:xfrm>
          <a:off x="29313414" y="2207985"/>
          <a:ext cx="1587500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Drying</a:t>
          </a:r>
        </a:p>
      </xdr:txBody>
    </xdr:sp>
    <xdr:clientData/>
  </xdr:twoCellAnchor>
  <xdr:twoCellAnchor>
    <xdr:from>
      <xdr:col>30</xdr:col>
      <xdr:colOff>542635</xdr:colOff>
      <xdr:row>11</xdr:row>
      <xdr:rowOff>191340</xdr:rowOff>
    </xdr:from>
    <xdr:to>
      <xdr:col>31</xdr:col>
      <xdr:colOff>751114</xdr:colOff>
      <xdr:row>11</xdr:row>
      <xdr:rowOff>199504</xdr:rowOff>
    </xdr:to>
    <xdr:cxnSp macro="">
      <xdr:nvCxnSpPr>
        <xdr:cNvPr id="54" name="Straight Arrow Connector 15">
          <a:extLst>
            <a:ext uri="{FF2B5EF4-FFF2-40B4-BE49-F238E27FC236}">
              <a16:creationId xmlns:a16="http://schemas.microsoft.com/office/drawing/2014/main" id="{84B98D0D-0227-F44D-A546-4D96F6A1AB4E}"/>
            </a:ext>
          </a:extLst>
        </xdr:cNvPr>
        <xdr:cNvCxnSpPr>
          <a:stCxn id="50" idx="3"/>
          <a:endCxn id="53" idx="1"/>
        </xdr:cNvCxnSpPr>
      </xdr:nvCxnSpPr>
      <xdr:spPr>
        <a:xfrm flipV="1">
          <a:off x="28215935" y="2540840"/>
          <a:ext cx="1097479" cy="8164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709385</xdr:colOff>
      <xdr:row>3</xdr:row>
      <xdr:rowOff>163285</xdr:rowOff>
    </xdr:from>
    <xdr:to>
      <xdr:col>33</xdr:col>
      <xdr:colOff>725714</xdr:colOff>
      <xdr:row>6</xdr:row>
      <xdr:rowOff>54429</xdr:rowOff>
    </xdr:to>
    <xdr:sp macro="" textlink="">
      <xdr:nvSpPr>
        <xdr:cNvPr id="55" name="Rectangle 54">
          <a:extLst>
            <a:ext uri="{FF2B5EF4-FFF2-40B4-BE49-F238E27FC236}">
              <a16:creationId xmlns:a16="http://schemas.microsoft.com/office/drawing/2014/main" id="{B03FE0A2-ECD2-8E4D-B6E9-9976FBDCCD2C}"/>
            </a:ext>
          </a:extLst>
        </xdr:cNvPr>
        <xdr:cNvSpPr/>
      </xdr:nvSpPr>
      <xdr:spPr>
        <a:xfrm>
          <a:off x="29271685" y="849085"/>
          <a:ext cx="1667329" cy="538844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32</xdr:col>
      <xdr:colOff>717549</xdr:colOff>
      <xdr:row>6</xdr:row>
      <xdr:rowOff>54429</xdr:rowOff>
    </xdr:from>
    <xdr:to>
      <xdr:col>32</xdr:col>
      <xdr:colOff>719364</xdr:colOff>
      <xdr:row>10</xdr:row>
      <xdr:rowOff>61685</xdr:rowOff>
    </xdr:to>
    <xdr:cxnSp macro="">
      <xdr:nvCxnSpPr>
        <xdr:cNvPr id="56" name="Straight Arrow Connector 15">
          <a:extLst>
            <a:ext uri="{FF2B5EF4-FFF2-40B4-BE49-F238E27FC236}">
              <a16:creationId xmlns:a16="http://schemas.microsoft.com/office/drawing/2014/main" id="{5F96A781-B4EC-8045-97BF-E0661C51300D}"/>
            </a:ext>
          </a:extLst>
        </xdr:cNvPr>
        <xdr:cNvCxnSpPr>
          <a:stCxn id="55" idx="2"/>
          <a:endCxn id="53" idx="0"/>
        </xdr:cNvCxnSpPr>
      </xdr:nvCxnSpPr>
      <xdr:spPr>
        <a:xfrm>
          <a:off x="30105349" y="1387929"/>
          <a:ext cx="1815" cy="820056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716644</xdr:colOff>
      <xdr:row>26</xdr:row>
      <xdr:rowOff>382105</xdr:rowOff>
    </xdr:from>
    <xdr:to>
      <xdr:col>33</xdr:col>
      <xdr:colOff>720298</xdr:colOff>
      <xdr:row>29</xdr:row>
      <xdr:rowOff>48276</xdr:rowOff>
    </xdr:to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id="{702AB255-966A-704D-8C3A-5620F92B39E7}"/>
            </a:ext>
          </a:extLst>
        </xdr:cNvPr>
        <xdr:cNvSpPr/>
      </xdr:nvSpPr>
      <xdr:spPr>
        <a:xfrm>
          <a:off x="29278944" y="5779605"/>
          <a:ext cx="1654654" cy="50437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34</xdr:col>
      <xdr:colOff>802888</xdr:colOff>
      <xdr:row>10</xdr:row>
      <xdr:rowOff>127000</xdr:rowOff>
    </xdr:from>
    <xdr:to>
      <xdr:col>36</xdr:col>
      <xdr:colOff>561588</xdr:colOff>
      <xdr:row>13</xdr:row>
      <xdr:rowOff>38100</xdr:rowOff>
    </xdr:to>
    <xdr:sp macro="" textlink="">
      <xdr:nvSpPr>
        <xdr:cNvPr id="58" name="Rectangle 57">
          <a:extLst>
            <a:ext uri="{FF2B5EF4-FFF2-40B4-BE49-F238E27FC236}">
              <a16:creationId xmlns:a16="http://schemas.microsoft.com/office/drawing/2014/main" id="{44680623-9B81-B940-B0CD-F19CDCE62AE9}"/>
            </a:ext>
          </a:extLst>
        </xdr:cNvPr>
        <xdr:cNvSpPr/>
      </xdr:nvSpPr>
      <xdr:spPr>
        <a:xfrm>
          <a:off x="31841688" y="2273300"/>
          <a:ext cx="1409700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33</xdr:col>
      <xdr:colOff>687614</xdr:colOff>
      <xdr:row>11</xdr:row>
      <xdr:rowOff>182335</xdr:rowOff>
    </xdr:from>
    <xdr:to>
      <xdr:col>34</xdr:col>
      <xdr:colOff>802888</xdr:colOff>
      <xdr:row>11</xdr:row>
      <xdr:rowOff>186871</xdr:rowOff>
    </xdr:to>
    <xdr:cxnSp macro="">
      <xdr:nvCxnSpPr>
        <xdr:cNvPr id="59" name="Straight Arrow Connector 15">
          <a:extLst>
            <a:ext uri="{FF2B5EF4-FFF2-40B4-BE49-F238E27FC236}">
              <a16:creationId xmlns:a16="http://schemas.microsoft.com/office/drawing/2014/main" id="{B6641516-A5D1-724C-9D6C-0E9A16E7A036}"/>
            </a:ext>
          </a:extLst>
        </xdr:cNvPr>
        <xdr:cNvCxnSpPr>
          <a:stCxn id="53" idx="3"/>
          <a:endCxn id="58" idx="1"/>
        </xdr:cNvCxnSpPr>
      </xdr:nvCxnSpPr>
      <xdr:spPr>
        <a:xfrm flipV="1">
          <a:off x="30900914" y="2531835"/>
          <a:ext cx="940774" cy="4536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718471</xdr:colOff>
      <xdr:row>13</xdr:row>
      <xdr:rowOff>112486</xdr:rowOff>
    </xdr:from>
    <xdr:to>
      <xdr:col>32</xdr:col>
      <xdr:colOff>719364</xdr:colOff>
      <xdr:row>26</xdr:row>
      <xdr:rowOff>382105</xdr:rowOff>
    </xdr:to>
    <xdr:cxnSp macro="">
      <xdr:nvCxnSpPr>
        <xdr:cNvPr id="60" name="Straight Arrow Connector 15">
          <a:extLst>
            <a:ext uri="{FF2B5EF4-FFF2-40B4-BE49-F238E27FC236}">
              <a16:creationId xmlns:a16="http://schemas.microsoft.com/office/drawing/2014/main" id="{68FD644A-38DA-6141-A4D3-2B638B0E8480}"/>
            </a:ext>
          </a:extLst>
        </xdr:cNvPr>
        <xdr:cNvCxnSpPr>
          <a:stCxn id="53" idx="2"/>
          <a:endCxn id="57" idx="0"/>
        </xdr:cNvCxnSpPr>
      </xdr:nvCxnSpPr>
      <xdr:spPr>
        <a:xfrm flipH="1">
          <a:off x="30106271" y="2868386"/>
          <a:ext cx="893" cy="2911219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90389</xdr:colOff>
      <xdr:row>15</xdr:row>
      <xdr:rowOff>79556</xdr:rowOff>
    </xdr:from>
    <xdr:to>
      <xdr:col>32</xdr:col>
      <xdr:colOff>26889</xdr:colOff>
      <xdr:row>18</xdr:row>
      <xdr:rowOff>130357</xdr:rowOff>
    </xdr:to>
    <xdr:sp macro="" textlink="">
      <xdr:nvSpPr>
        <xdr:cNvPr id="61" name="Rectangle 60">
          <a:extLst>
            <a:ext uri="{FF2B5EF4-FFF2-40B4-BE49-F238E27FC236}">
              <a16:creationId xmlns:a16="http://schemas.microsoft.com/office/drawing/2014/main" id="{CE00B37B-EF12-E742-A922-234364969E3F}"/>
            </a:ext>
          </a:extLst>
        </xdr:cNvPr>
        <xdr:cNvSpPr/>
      </xdr:nvSpPr>
      <xdr:spPr>
        <a:xfrm>
          <a:off x="27763689" y="3241856"/>
          <a:ext cx="1651000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Drying</a:t>
          </a:r>
        </a:p>
      </xdr:txBody>
    </xdr:sp>
    <xdr:clientData/>
  </xdr:twoCellAnchor>
  <xdr:twoCellAnchor>
    <xdr:from>
      <xdr:col>25</xdr:col>
      <xdr:colOff>6815</xdr:colOff>
      <xdr:row>17</xdr:row>
      <xdr:rowOff>134</xdr:rowOff>
    </xdr:from>
    <xdr:to>
      <xdr:col>30</xdr:col>
      <xdr:colOff>90389</xdr:colOff>
      <xdr:row>17</xdr:row>
      <xdr:rowOff>703</xdr:rowOff>
    </xdr:to>
    <xdr:cxnSp macro="">
      <xdr:nvCxnSpPr>
        <xdr:cNvPr id="62" name="Straight Arrow Connector 15">
          <a:extLst>
            <a:ext uri="{FF2B5EF4-FFF2-40B4-BE49-F238E27FC236}">
              <a16:creationId xmlns:a16="http://schemas.microsoft.com/office/drawing/2014/main" id="{298C1E6E-7686-064E-9972-49541352E38C}"/>
            </a:ext>
          </a:extLst>
        </xdr:cNvPr>
        <xdr:cNvCxnSpPr>
          <a:stCxn id="33" idx="3"/>
          <a:endCxn id="61" idx="1"/>
        </xdr:cNvCxnSpPr>
      </xdr:nvCxnSpPr>
      <xdr:spPr>
        <a:xfrm>
          <a:off x="23552615" y="3568834"/>
          <a:ext cx="4211074" cy="569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709385</xdr:colOff>
      <xdr:row>3</xdr:row>
      <xdr:rowOff>163285</xdr:rowOff>
    </xdr:from>
    <xdr:to>
      <xdr:col>31</xdr:col>
      <xdr:colOff>435970</xdr:colOff>
      <xdr:row>6</xdr:row>
      <xdr:rowOff>54429</xdr:rowOff>
    </xdr:to>
    <xdr:sp macro="" textlink="">
      <xdr:nvSpPr>
        <xdr:cNvPr id="63" name="Rectangle 62">
          <a:extLst>
            <a:ext uri="{FF2B5EF4-FFF2-40B4-BE49-F238E27FC236}">
              <a16:creationId xmlns:a16="http://schemas.microsoft.com/office/drawing/2014/main" id="{79C3BB8C-2C1F-A740-9D97-39FDEBC60824}"/>
            </a:ext>
          </a:extLst>
        </xdr:cNvPr>
        <xdr:cNvSpPr/>
      </xdr:nvSpPr>
      <xdr:spPr>
        <a:xfrm>
          <a:off x="27557185" y="849085"/>
          <a:ext cx="1441085" cy="538844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30</xdr:col>
      <xdr:colOff>601110</xdr:colOff>
      <xdr:row>6</xdr:row>
      <xdr:rowOff>54429</xdr:rowOff>
    </xdr:from>
    <xdr:to>
      <xdr:col>31</xdr:col>
      <xdr:colOff>30205</xdr:colOff>
      <xdr:row>15</xdr:row>
      <xdr:rowOff>79556</xdr:rowOff>
    </xdr:to>
    <xdr:cxnSp macro="">
      <xdr:nvCxnSpPr>
        <xdr:cNvPr id="64" name="Straight Arrow Connector 15">
          <a:extLst>
            <a:ext uri="{FF2B5EF4-FFF2-40B4-BE49-F238E27FC236}">
              <a16:creationId xmlns:a16="http://schemas.microsoft.com/office/drawing/2014/main" id="{5359D739-9014-8446-B746-AFAAC63A106E}"/>
            </a:ext>
          </a:extLst>
        </xdr:cNvPr>
        <xdr:cNvCxnSpPr>
          <a:stCxn id="63" idx="2"/>
          <a:endCxn id="61" idx="0"/>
        </xdr:cNvCxnSpPr>
      </xdr:nvCxnSpPr>
      <xdr:spPr>
        <a:xfrm rot="16200000" flipH="1">
          <a:off x="27506494" y="2155845"/>
          <a:ext cx="1853927" cy="318095"/>
        </a:xfrm>
        <a:prstGeom prst="bentConnector3">
          <a:avLst>
            <a:gd name="adj1" fmla="val 27075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18</xdr:row>
      <xdr:rowOff>130357</xdr:rowOff>
    </xdr:from>
    <xdr:to>
      <xdr:col>31</xdr:col>
      <xdr:colOff>30206</xdr:colOff>
      <xdr:row>30</xdr:row>
      <xdr:rowOff>151642</xdr:rowOff>
    </xdr:to>
    <xdr:cxnSp macro="">
      <xdr:nvCxnSpPr>
        <xdr:cNvPr id="65" name="Straight Arrow Connector 15">
          <a:extLst>
            <a:ext uri="{FF2B5EF4-FFF2-40B4-BE49-F238E27FC236}">
              <a16:creationId xmlns:a16="http://schemas.microsoft.com/office/drawing/2014/main" id="{DF70EFF9-AE9B-F046-8DDB-BA4686DD5A93}"/>
            </a:ext>
          </a:extLst>
        </xdr:cNvPr>
        <xdr:cNvCxnSpPr>
          <a:stCxn id="61" idx="2"/>
        </xdr:cNvCxnSpPr>
      </xdr:nvCxnSpPr>
      <xdr:spPr>
        <a:xfrm flipH="1">
          <a:off x="28562300" y="3902257"/>
          <a:ext cx="30206" cy="2688285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26889</xdr:colOff>
      <xdr:row>16</xdr:row>
      <xdr:rowOff>204675</xdr:rowOff>
    </xdr:from>
    <xdr:to>
      <xdr:col>34</xdr:col>
      <xdr:colOff>769310</xdr:colOff>
      <xdr:row>17</xdr:row>
      <xdr:rowOff>703</xdr:rowOff>
    </xdr:to>
    <xdr:cxnSp macro="">
      <xdr:nvCxnSpPr>
        <xdr:cNvPr id="66" name="Straight Arrow Connector 15">
          <a:extLst>
            <a:ext uri="{FF2B5EF4-FFF2-40B4-BE49-F238E27FC236}">
              <a16:creationId xmlns:a16="http://schemas.microsoft.com/office/drawing/2014/main" id="{86F6610D-ECC2-A543-8D6C-8D665CDD30A5}"/>
            </a:ext>
          </a:extLst>
        </xdr:cNvPr>
        <xdr:cNvCxnSpPr>
          <a:stCxn id="61" idx="3"/>
          <a:endCxn id="67" idx="1"/>
        </xdr:cNvCxnSpPr>
      </xdr:nvCxnSpPr>
      <xdr:spPr>
        <a:xfrm flipV="1">
          <a:off x="29414689" y="3570175"/>
          <a:ext cx="2393421" cy="0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769310</xdr:colOff>
      <xdr:row>15</xdr:row>
      <xdr:rowOff>144871</xdr:rowOff>
    </xdr:from>
    <xdr:to>
      <xdr:col>36</xdr:col>
      <xdr:colOff>528010</xdr:colOff>
      <xdr:row>18</xdr:row>
      <xdr:rowOff>55971</xdr:rowOff>
    </xdr:to>
    <xdr:sp macro="" textlink="">
      <xdr:nvSpPr>
        <xdr:cNvPr id="67" name="Rectangle 66">
          <a:extLst>
            <a:ext uri="{FF2B5EF4-FFF2-40B4-BE49-F238E27FC236}">
              <a16:creationId xmlns:a16="http://schemas.microsoft.com/office/drawing/2014/main" id="{5346C23B-05C0-7940-82A7-4B55BEE40EEE}"/>
            </a:ext>
          </a:extLst>
        </xdr:cNvPr>
        <xdr:cNvSpPr/>
      </xdr:nvSpPr>
      <xdr:spPr>
        <a:xfrm>
          <a:off x="31808110" y="3307171"/>
          <a:ext cx="1409700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29</xdr:col>
      <xdr:colOff>716644</xdr:colOff>
      <xdr:row>30</xdr:row>
      <xdr:rowOff>382105</xdr:rowOff>
    </xdr:from>
    <xdr:to>
      <xdr:col>31</xdr:col>
      <xdr:colOff>720298</xdr:colOff>
      <xdr:row>33</xdr:row>
      <xdr:rowOff>48276</xdr:rowOff>
    </xdr:to>
    <xdr:sp macro="" textlink="">
      <xdr:nvSpPr>
        <xdr:cNvPr id="68" name="Rectangle 67">
          <a:extLst>
            <a:ext uri="{FF2B5EF4-FFF2-40B4-BE49-F238E27FC236}">
              <a16:creationId xmlns:a16="http://schemas.microsoft.com/office/drawing/2014/main" id="{9380C6EE-BBA4-EA47-B2D8-E9EED9F94002}"/>
            </a:ext>
          </a:extLst>
        </xdr:cNvPr>
        <xdr:cNvSpPr/>
      </xdr:nvSpPr>
      <xdr:spPr>
        <a:xfrm>
          <a:off x="27564444" y="6643205"/>
          <a:ext cx="1718154" cy="45357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340732</xdr:colOff>
      <xdr:row>20</xdr:row>
      <xdr:rowOff>24445</xdr:rowOff>
    </xdr:from>
    <xdr:to>
      <xdr:col>14</xdr:col>
      <xdr:colOff>244819</xdr:colOff>
      <xdr:row>23</xdr:row>
      <xdr:rowOff>90201</xdr:rowOff>
    </xdr:to>
    <xdr:cxnSp macro="">
      <xdr:nvCxnSpPr>
        <xdr:cNvPr id="69" name="Straight Arrow Connector 15">
          <a:extLst>
            <a:ext uri="{FF2B5EF4-FFF2-40B4-BE49-F238E27FC236}">
              <a16:creationId xmlns:a16="http://schemas.microsoft.com/office/drawing/2014/main" id="{64C4724D-D7CC-1346-B0B0-5D840EF2CBEA}"/>
            </a:ext>
          </a:extLst>
        </xdr:cNvPr>
        <xdr:cNvCxnSpPr>
          <a:cxnSpLocks/>
          <a:stCxn id="42" idx="3"/>
          <a:endCxn id="70" idx="1"/>
        </xdr:cNvCxnSpPr>
      </xdr:nvCxnSpPr>
      <xdr:spPr>
        <a:xfrm>
          <a:off x="13980532" y="4202745"/>
          <a:ext cx="729587" cy="675356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244819</xdr:colOff>
      <xdr:row>21</xdr:row>
      <xdr:rowOff>107108</xdr:rowOff>
    </xdr:from>
    <xdr:to>
      <xdr:col>16</xdr:col>
      <xdr:colOff>181319</xdr:colOff>
      <xdr:row>25</xdr:row>
      <xdr:rowOff>73293</xdr:rowOff>
    </xdr:to>
    <xdr:sp macro="" textlink="">
      <xdr:nvSpPr>
        <xdr:cNvPr id="70" name="Rectangle 69">
          <a:extLst>
            <a:ext uri="{FF2B5EF4-FFF2-40B4-BE49-F238E27FC236}">
              <a16:creationId xmlns:a16="http://schemas.microsoft.com/office/drawing/2014/main" id="{1A00778A-F5E3-6C40-88E4-665BDE128E21}"/>
            </a:ext>
          </a:extLst>
        </xdr:cNvPr>
        <xdr:cNvSpPr/>
      </xdr:nvSpPr>
      <xdr:spPr>
        <a:xfrm>
          <a:off x="14710119" y="4488608"/>
          <a:ext cx="1587500" cy="778985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Separation of Cu</a:t>
          </a:r>
          <a:r>
            <a:rPr lang="en-GB" sz="1400" b="1" baseline="0"/>
            <a:t> and black mass</a:t>
          </a:r>
          <a:endParaRPr lang="en-GB" sz="1400" b="1"/>
        </a:p>
      </xdr:txBody>
    </xdr:sp>
    <xdr:clientData/>
  </xdr:twoCellAnchor>
  <xdr:twoCellAnchor>
    <xdr:from>
      <xdr:col>17</xdr:col>
      <xdr:colOff>10077</xdr:colOff>
      <xdr:row>21</xdr:row>
      <xdr:rowOff>107853</xdr:rowOff>
    </xdr:from>
    <xdr:to>
      <xdr:col>18</xdr:col>
      <xdr:colOff>418171</xdr:colOff>
      <xdr:row>24</xdr:row>
      <xdr:rowOff>107854</xdr:rowOff>
    </xdr:to>
    <xdr:sp macro="" textlink="">
      <xdr:nvSpPr>
        <xdr:cNvPr id="71" name="Rectangle 70">
          <a:extLst>
            <a:ext uri="{FF2B5EF4-FFF2-40B4-BE49-F238E27FC236}">
              <a16:creationId xmlns:a16="http://schemas.microsoft.com/office/drawing/2014/main" id="{F971DD7D-90BB-664A-9D0F-B93E6899BDEB}"/>
            </a:ext>
          </a:extLst>
        </xdr:cNvPr>
        <xdr:cNvSpPr/>
      </xdr:nvSpPr>
      <xdr:spPr>
        <a:xfrm>
          <a:off x="16951877" y="4489353"/>
          <a:ext cx="1233594" cy="60960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181319</xdr:colOff>
      <xdr:row>23</xdr:row>
      <xdr:rowOff>8396</xdr:rowOff>
    </xdr:from>
    <xdr:to>
      <xdr:col>17</xdr:col>
      <xdr:colOff>10077</xdr:colOff>
      <xdr:row>23</xdr:row>
      <xdr:rowOff>90201</xdr:rowOff>
    </xdr:to>
    <xdr:cxnSp macro="">
      <xdr:nvCxnSpPr>
        <xdr:cNvPr id="72" name="Straight Arrow Connector 15">
          <a:extLst>
            <a:ext uri="{FF2B5EF4-FFF2-40B4-BE49-F238E27FC236}">
              <a16:creationId xmlns:a16="http://schemas.microsoft.com/office/drawing/2014/main" id="{BC039EDA-C2D4-4547-9693-9ECFA9D97FA0}"/>
            </a:ext>
          </a:extLst>
        </xdr:cNvPr>
        <xdr:cNvCxnSpPr>
          <a:cxnSpLocks/>
          <a:stCxn id="70" idx="3"/>
          <a:endCxn id="71" idx="1"/>
        </xdr:cNvCxnSpPr>
      </xdr:nvCxnSpPr>
      <xdr:spPr>
        <a:xfrm flipV="1">
          <a:off x="16297619" y="4796296"/>
          <a:ext cx="654258" cy="81805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802888</xdr:colOff>
      <xdr:row>26</xdr:row>
      <xdr:rowOff>382530</xdr:rowOff>
    </xdr:from>
    <xdr:to>
      <xdr:col>18</xdr:col>
      <xdr:colOff>561588</xdr:colOff>
      <xdr:row>29</xdr:row>
      <xdr:rowOff>38100</xdr:rowOff>
    </xdr:to>
    <xdr:sp macro="" textlink="">
      <xdr:nvSpPr>
        <xdr:cNvPr id="73" name="Rectangle 72">
          <a:extLst>
            <a:ext uri="{FF2B5EF4-FFF2-40B4-BE49-F238E27FC236}">
              <a16:creationId xmlns:a16="http://schemas.microsoft.com/office/drawing/2014/main" id="{AFF01C85-9176-3544-8CE2-D62C9CE1ADFF}"/>
            </a:ext>
          </a:extLst>
        </xdr:cNvPr>
        <xdr:cNvSpPr/>
      </xdr:nvSpPr>
      <xdr:spPr>
        <a:xfrm>
          <a:off x="16919188" y="5780030"/>
          <a:ext cx="1409700" cy="49377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181319</xdr:colOff>
      <xdr:row>23</xdr:row>
      <xdr:rowOff>90201</xdr:rowOff>
    </xdr:from>
    <xdr:to>
      <xdr:col>16</xdr:col>
      <xdr:colOff>802888</xdr:colOff>
      <xdr:row>27</xdr:row>
      <xdr:rowOff>195014</xdr:rowOff>
    </xdr:to>
    <xdr:cxnSp macro="">
      <xdr:nvCxnSpPr>
        <xdr:cNvPr id="74" name="Straight Arrow Connector 15">
          <a:extLst>
            <a:ext uri="{FF2B5EF4-FFF2-40B4-BE49-F238E27FC236}">
              <a16:creationId xmlns:a16="http://schemas.microsoft.com/office/drawing/2014/main" id="{B6B07716-18EF-BA43-BDF1-C47C3CF59997}"/>
            </a:ext>
          </a:extLst>
        </xdr:cNvPr>
        <xdr:cNvCxnSpPr>
          <a:cxnSpLocks/>
          <a:stCxn id="70" idx="3"/>
          <a:endCxn id="73" idx="1"/>
        </xdr:cNvCxnSpPr>
      </xdr:nvCxnSpPr>
      <xdr:spPr>
        <a:xfrm>
          <a:off x="16297619" y="4878101"/>
          <a:ext cx="621569" cy="1146213"/>
        </a:xfrm>
        <a:prstGeom prst="bentConnector3">
          <a:avLst>
            <a:gd name="adj1" fmla="val 52462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800100</xdr:colOff>
      <xdr:row>30</xdr:row>
      <xdr:rowOff>165100</xdr:rowOff>
    </xdr:from>
    <xdr:to>
      <xdr:col>15</xdr:col>
      <xdr:colOff>736600</xdr:colOff>
      <xdr:row>33</xdr:row>
      <xdr:rowOff>12700</xdr:rowOff>
    </xdr:to>
    <xdr:sp macro="" textlink="">
      <xdr:nvSpPr>
        <xdr:cNvPr id="75" name="Rectangle 74">
          <a:extLst>
            <a:ext uri="{FF2B5EF4-FFF2-40B4-BE49-F238E27FC236}">
              <a16:creationId xmlns:a16="http://schemas.microsoft.com/office/drawing/2014/main" id="{5D820577-35B4-624F-825D-96165698E5A7}"/>
            </a:ext>
          </a:extLst>
        </xdr:cNvPr>
        <xdr:cNvSpPr/>
      </xdr:nvSpPr>
      <xdr:spPr>
        <a:xfrm>
          <a:off x="14439900" y="6604000"/>
          <a:ext cx="1587500" cy="4572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14</xdr:col>
      <xdr:colOff>768350</xdr:colOff>
      <xdr:row>25</xdr:row>
      <xdr:rowOff>73293</xdr:rowOff>
    </xdr:from>
    <xdr:to>
      <xdr:col>15</xdr:col>
      <xdr:colOff>213069</xdr:colOff>
      <xdr:row>30</xdr:row>
      <xdr:rowOff>165100</xdr:rowOff>
    </xdr:to>
    <xdr:cxnSp macro="">
      <xdr:nvCxnSpPr>
        <xdr:cNvPr id="76" name="Straight Arrow Connector 15">
          <a:extLst>
            <a:ext uri="{FF2B5EF4-FFF2-40B4-BE49-F238E27FC236}">
              <a16:creationId xmlns:a16="http://schemas.microsoft.com/office/drawing/2014/main" id="{CE6F3695-F280-1B44-9F1D-227863BA7402}"/>
            </a:ext>
          </a:extLst>
        </xdr:cNvPr>
        <xdr:cNvCxnSpPr>
          <a:cxnSpLocks/>
          <a:stCxn id="70" idx="2"/>
          <a:endCxn id="75" idx="0"/>
        </xdr:cNvCxnSpPr>
      </xdr:nvCxnSpPr>
      <xdr:spPr>
        <a:xfrm rot="5400000">
          <a:off x="14700556" y="5800687"/>
          <a:ext cx="1336407" cy="270219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683939</xdr:colOff>
      <xdr:row>21</xdr:row>
      <xdr:rowOff>85037</xdr:rowOff>
    </xdr:from>
    <xdr:to>
      <xdr:col>21</xdr:col>
      <xdr:colOff>681644</xdr:colOff>
      <xdr:row>24</xdr:row>
      <xdr:rowOff>135838</xdr:rowOff>
    </xdr:to>
    <xdr:sp macro="" textlink="">
      <xdr:nvSpPr>
        <xdr:cNvPr id="77" name="Rectangle 76">
          <a:extLst>
            <a:ext uri="{FF2B5EF4-FFF2-40B4-BE49-F238E27FC236}">
              <a16:creationId xmlns:a16="http://schemas.microsoft.com/office/drawing/2014/main" id="{09479CBE-DCDA-AD4D-80EF-7403061CFD03}"/>
            </a:ext>
          </a:extLst>
        </xdr:cNvPr>
        <xdr:cNvSpPr/>
      </xdr:nvSpPr>
      <xdr:spPr>
        <a:xfrm>
          <a:off x="19276739" y="4466537"/>
          <a:ext cx="1648705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Drying</a:t>
          </a:r>
        </a:p>
      </xdr:txBody>
    </xdr:sp>
    <xdr:clientData/>
  </xdr:twoCellAnchor>
  <xdr:twoCellAnchor>
    <xdr:from>
      <xdr:col>21</xdr:col>
      <xdr:colOff>821038</xdr:colOff>
      <xdr:row>26</xdr:row>
      <xdr:rowOff>298642</xdr:rowOff>
    </xdr:from>
    <xdr:to>
      <xdr:col>23</xdr:col>
      <xdr:colOff>818743</xdr:colOff>
      <xdr:row>29</xdr:row>
      <xdr:rowOff>119925</xdr:rowOff>
    </xdr:to>
    <xdr:sp macro="" textlink="">
      <xdr:nvSpPr>
        <xdr:cNvPr id="78" name="Rectangle 77">
          <a:extLst>
            <a:ext uri="{FF2B5EF4-FFF2-40B4-BE49-F238E27FC236}">
              <a16:creationId xmlns:a16="http://schemas.microsoft.com/office/drawing/2014/main" id="{CD5EF0FB-2431-764B-8CE7-6B26C45462A2}"/>
            </a:ext>
          </a:extLst>
        </xdr:cNvPr>
        <xdr:cNvSpPr/>
      </xdr:nvSpPr>
      <xdr:spPr>
        <a:xfrm>
          <a:off x="21064838" y="5696142"/>
          <a:ext cx="1648705" cy="659483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Drying</a:t>
          </a:r>
        </a:p>
      </xdr:txBody>
    </xdr:sp>
    <xdr:clientData/>
  </xdr:twoCellAnchor>
  <xdr:twoCellAnchor>
    <xdr:from>
      <xdr:col>18</xdr:col>
      <xdr:colOff>418171</xdr:colOff>
      <xdr:row>23</xdr:row>
      <xdr:rowOff>8396</xdr:rowOff>
    </xdr:from>
    <xdr:to>
      <xdr:col>19</xdr:col>
      <xdr:colOff>683939</xdr:colOff>
      <xdr:row>23</xdr:row>
      <xdr:rowOff>10980</xdr:rowOff>
    </xdr:to>
    <xdr:cxnSp macro="">
      <xdr:nvCxnSpPr>
        <xdr:cNvPr id="79" name="Straight Arrow Connector 15">
          <a:extLst>
            <a:ext uri="{FF2B5EF4-FFF2-40B4-BE49-F238E27FC236}">
              <a16:creationId xmlns:a16="http://schemas.microsoft.com/office/drawing/2014/main" id="{AAA0C292-C877-4547-AE2C-53C6FEBAC134}"/>
            </a:ext>
          </a:extLst>
        </xdr:cNvPr>
        <xdr:cNvCxnSpPr>
          <a:cxnSpLocks/>
          <a:stCxn id="71" idx="3"/>
          <a:endCxn id="77" idx="1"/>
        </xdr:cNvCxnSpPr>
      </xdr:nvCxnSpPr>
      <xdr:spPr>
        <a:xfrm>
          <a:off x="18185471" y="4796296"/>
          <a:ext cx="1091268" cy="2584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561588</xdr:colOff>
      <xdr:row>27</xdr:row>
      <xdr:rowOff>193982</xdr:rowOff>
    </xdr:from>
    <xdr:to>
      <xdr:col>21</xdr:col>
      <xdr:colOff>821038</xdr:colOff>
      <xdr:row>27</xdr:row>
      <xdr:rowOff>195014</xdr:rowOff>
    </xdr:to>
    <xdr:cxnSp macro="">
      <xdr:nvCxnSpPr>
        <xdr:cNvPr id="80" name="Straight Arrow Connector 15">
          <a:extLst>
            <a:ext uri="{FF2B5EF4-FFF2-40B4-BE49-F238E27FC236}">
              <a16:creationId xmlns:a16="http://schemas.microsoft.com/office/drawing/2014/main" id="{6D8C6EAA-9D86-D84C-8185-73C9CDAFC5F2}"/>
            </a:ext>
          </a:extLst>
        </xdr:cNvPr>
        <xdr:cNvCxnSpPr>
          <a:cxnSpLocks/>
          <a:stCxn id="73" idx="3"/>
          <a:endCxn id="78" idx="1"/>
        </xdr:cNvCxnSpPr>
      </xdr:nvCxnSpPr>
      <xdr:spPr>
        <a:xfrm flipV="1">
          <a:off x="18328888" y="6023282"/>
          <a:ext cx="2735950" cy="103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709385</xdr:colOff>
      <xdr:row>33</xdr:row>
      <xdr:rowOff>193419</xdr:rowOff>
    </xdr:from>
    <xdr:to>
      <xdr:col>21</xdr:col>
      <xdr:colOff>397832</xdr:colOff>
      <xdr:row>36</xdr:row>
      <xdr:rowOff>41019</xdr:rowOff>
    </xdr:to>
    <xdr:sp macro="" textlink="">
      <xdr:nvSpPr>
        <xdr:cNvPr id="81" name="Rectangle 80">
          <a:extLst>
            <a:ext uri="{FF2B5EF4-FFF2-40B4-BE49-F238E27FC236}">
              <a16:creationId xmlns:a16="http://schemas.microsoft.com/office/drawing/2014/main" id="{C3E5E62B-A265-294A-8E8C-6DBDF4487A28}"/>
            </a:ext>
          </a:extLst>
        </xdr:cNvPr>
        <xdr:cNvSpPr/>
      </xdr:nvSpPr>
      <xdr:spPr>
        <a:xfrm>
          <a:off x="19302185" y="7241919"/>
          <a:ext cx="1339447" cy="4572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21</xdr:col>
      <xdr:colOff>765060</xdr:colOff>
      <xdr:row>33</xdr:row>
      <xdr:rowOff>193419</xdr:rowOff>
    </xdr:from>
    <xdr:to>
      <xdr:col>23</xdr:col>
      <xdr:colOff>645886</xdr:colOff>
      <xdr:row>36</xdr:row>
      <xdr:rowOff>41019</xdr:rowOff>
    </xdr:to>
    <xdr:sp macro="" textlink="">
      <xdr:nvSpPr>
        <xdr:cNvPr id="82" name="Rectangle 81">
          <a:extLst>
            <a:ext uri="{FF2B5EF4-FFF2-40B4-BE49-F238E27FC236}">
              <a16:creationId xmlns:a16="http://schemas.microsoft.com/office/drawing/2014/main" id="{07543A70-606B-8645-8979-F0682DA5F188}"/>
            </a:ext>
          </a:extLst>
        </xdr:cNvPr>
        <xdr:cNvSpPr/>
      </xdr:nvSpPr>
      <xdr:spPr>
        <a:xfrm>
          <a:off x="21008860" y="7241919"/>
          <a:ext cx="1531826" cy="4572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553608</xdr:colOff>
      <xdr:row>24</xdr:row>
      <xdr:rowOff>135839</xdr:rowOff>
    </xdr:from>
    <xdr:to>
      <xdr:col>20</xdr:col>
      <xdr:colOff>682791</xdr:colOff>
      <xdr:row>33</xdr:row>
      <xdr:rowOff>193420</xdr:rowOff>
    </xdr:to>
    <xdr:cxnSp macro="">
      <xdr:nvCxnSpPr>
        <xdr:cNvPr id="83" name="Straight Arrow Connector 15">
          <a:extLst>
            <a:ext uri="{FF2B5EF4-FFF2-40B4-BE49-F238E27FC236}">
              <a16:creationId xmlns:a16="http://schemas.microsoft.com/office/drawing/2014/main" id="{70A6FA97-DE05-7F47-B7BE-FD7CEE16D82C}"/>
            </a:ext>
          </a:extLst>
        </xdr:cNvPr>
        <xdr:cNvCxnSpPr>
          <a:cxnSpLocks/>
          <a:stCxn id="81" idx="0"/>
          <a:endCxn id="77" idx="2"/>
        </xdr:cNvCxnSpPr>
      </xdr:nvCxnSpPr>
      <xdr:spPr>
        <a:xfrm rot="5400000" flipH="1" flipV="1">
          <a:off x="18979009" y="6119838"/>
          <a:ext cx="2114981" cy="129183"/>
        </a:xfrm>
        <a:prstGeom prst="bentConnector3">
          <a:avLst>
            <a:gd name="adj1" fmla="val 27166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705474</xdr:colOff>
      <xdr:row>29</xdr:row>
      <xdr:rowOff>119925</xdr:rowOff>
    </xdr:from>
    <xdr:to>
      <xdr:col>22</xdr:col>
      <xdr:colOff>819892</xdr:colOff>
      <xdr:row>33</xdr:row>
      <xdr:rowOff>193419</xdr:rowOff>
    </xdr:to>
    <xdr:cxnSp macro="">
      <xdr:nvCxnSpPr>
        <xdr:cNvPr id="84" name="Straight Arrow Connector 15">
          <a:extLst>
            <a:ext uri="{FF2B5EF4-FFF2-40B4-BE49-F238E27FC236}">
              <a16:creationId xmlns:a16="http://schemas.microsoft.com/office/drawing/2014/main" id="{FCDE2121-DC6B-B949-9F86-57EECD277A7C}"/>
            </a:ext>
          </a:extLst>
        </xdr:cNvPr>
        <xdr:cNvCxnSpPr>
          <a:cxnSpLocks/>
          <a:stCxn id="82" idx="0"/>
          <a:endCxn id="78" idx="2"/>
        </xdr:cNvCxnSpPr>
      </xdr:nvCxnSpPr>
      <xdr:spPr>
        <a:xfrm rot="5400000" flipH="1" flipV="1">
          <a:off x="21388836" y="6741563"/>
          <a:ext cx="886294" cy="114418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800100</xdr:colOff>
      <xdr:row>33</xdr:row>
      <xdr:rowOff>165100</xdr:rowOff>
    </xdr:from>
    <xdr:to>
      <xdr:col>18</xdr:col>
      <xdr:colOff>736600</xdr:colOff>
      <xdr:row>36</xdr:row>
      <xdr:rowOff>12700</xdr:rowOff>
    </xdr:to>
    <xdr:sp macro="" textlink="">
      <xdr:nvSpPr>
        <xdr:cNvPr id="85" name="Rectangle 84">
          <a:extLst>
            <a:ext uri="{FF2B5EF4-FFF2-40B4-BE49-F238E27FC236}">
              <a16:creationId xmlns:a16="http://schemas.microsoft.com/office/drawing/2014/main" id="{B97B29CB-ED7E-8A41-BC28-E00D2F5C4BD0}"/>
            </a:ext>
          </a:extLst>
        </xdr:cNvPr>
        <xdr:cNvSpPr/>
      </xdr:nvSpPr>
      <xdr:spPr>
        <a:xfrm>
          <a:off x="16916400" y="7213600"/>
          <a:ext cx="1587500" cy="4572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34</xdr:col>
      <xdr:colOff>792833</xdr:colOff>
      <xdr:row>34</xdr:row>
      <xdr:rowOff>135051</xdr:rowOff>
    </xdr:from>
    <xdr:to>
      <xdr:col>36</xdr:col>
      <xdr:colOff>551533</xdr:colOff>
      <xdr:row>37</xdr:row>
      <xdr:rowOff>46151</xdr:rowOff>
    </xdr:to>
    <xdr:sp macro="" textlink="">
      <xdr:nvSpPr>
        <xdr:cNvPr id="86" name="Rectangle 85">
          <a:extLst>
            <a:ext uri="{FF2B5EF4-FFF2-40B4-BE49-F238E27FC236}">
              <a16:creationId xmlns:a16="http://schemas.microsoft.com/office/drawing/2014/main" id="{C774DB56-1857-DB4B-B640-39E97004A3EF}"/>
            </a:ext>
          </a:extLst>
        </xdr:cNvPr>
        <xdr:cNvSpPr/>
      </xdr:nvSpPr>
      <xdr:spPr>
        <a:xfrm>
          <a:off x="31831633" y="7386751"/>
          <a:ext cx="1409700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21</xdr:col>
      <xdr:colOff>681644</xdr:colOff>
      <xdr:row>23</xdr:row>
      <xdr:rowOff>10980</xdr:rowOff>
    </xdr:from>
    <xdr:to>
      <xdr:col>34</xdr:col>
      <xdr:colOff>792833</xdr:colOff>
      <xdr:row>35</xdr:row>
      <xdr:rowOff>190059</xdr:rowOff>
    </xdr:to>
    <xdr:cxnSp macro="">
      <xdr:nvCxnSpPr>
        <xdr:cNvPr id="87" name="Straight Arrow Connector 15">
          <a:extLst>
            <a:ext uri="{FF2B5EF4-FFF2-40B4-BE49-F238E27FC236}">
              <a16:creationId xmlns:a16="http://schemas.microsoft.com/office/drawing/2014/main" id="{F4B7E29B-57A7-C447-AA02-E1B3537C7FEC}"/>
            </a:ext>
          </a:extLst>
        </xdr:cNvPr>
        <xdr:cNvCxnSpPr>
          <a:cxnSpLocks/>
          <a:stCxn id="77" idx="3"/>
          <a:endCxn id="86" idx="1"/>
        </xdr:cNvCxnSpPr>
      </xdr:nvCxnSpPr>
      <xdr:spPr>
        <a:xfrm>
          <a:off x="20925444" y="4798880"/>
          <a:ext cx="10906189" cy="2846079"/>
        </a:xfrm>
        <a:prstGeom prst="bentConnector3">
          <a:avLst>
            <a:gd name="adj1" fmla="val 37803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768351</xdr:colOff>
      <xdr:row>24</xdr:row>
      <xdr:rowOff>135838</xdr:rowOff>
    </xdr:from>
    <xdr:to>
      <xdr:col>20</xdr:col>
      <xdr:colOff>682793</xdr:colOff>
      <xdr:row>33</xdr:row>
      <xdr:rowOff>165100</xdr:rowOff>
    </xdr:to>
    <xdr:cxnSp macro="">
      <xdr:nvCxnSpPr>
        <xdr:cNvPr id="88" name="Straight Arrow Connector 15">
          <a:extLst>
            <a:ext uri="{FF2B5EF4-FFF2-40B4-BE49-F238E27FC236}">
              <a16:creationId xmlns:a16="http://schemas.microsoft.com/office/drawing/2014/main" id="{9F088861-D07A-E84F-88A9-89AEA92A0025}"/>
            </a:ext>
          </a:extLst>
        </xdr:cNvPr>
        <xdr:cNvCxnSpPr>
          <a:cxnSpLocks/>
          <a:stCxn id="77" idx="2"/>
          <a:endCxn id="85" idx="0"/>
        </xdr:cNvCxnSpPr>
      </xdr:nvCxnSpPr>
      <xdr:spPr>
        <a:xfrm rot="5400000">
          <a:off x="17862291" y="4974798"/>
          <a:ext cx="2086662" cy="2390942"/>
        </a:xfrm>
        <a:prstGeom prst="bentConnector3">
          <a:avLst>
            <a:gd name="adj1" fmla="val 7315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792221</xdr:colOff>
      <xdr:row>38</xdr:row>
      <xdr:rowOff>134439</xdr:rowOff>
    </xdr:from>
    <xdr:to>
      <xdr:col>36</xdr:col>
      <xdr:colOff>550921</xdr:colOff>
      <xdr:row>41</xdr:row>
      <xdr:rowOff>45539</xdr:rowOff>
    </xdr:to>
    <xdr:sp macro="" textlink="">
      <xdr:nvSpPr>
        <xdr:cNvPr id="89" name="Rectangle 88">
          <a:extLst>
            <a:ext uri="{FF2B5EF4-FFF2-40B4-BE49-F238E27FC236}">
              <a16:creationId xmlns:a16="http://schemas.microsoft.com/office/drawing/2014/main" id="{95F76C46-335A-2341-95F1-150221CE1E9F}"/>
            </a:ext>
          </a:extLst>
        </xdr:cNvPr>
        <xdr:cNvSpPr/>
      </xdr:nvSpPr>
      <xdr:spPr>
        <a:xfrm>
          <a:off x="31831021" y="8224339"/>
          <a:ext cx="1409700" cy="5334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23</xdr:col>
      <xdr:colOff>818743</xdr:colOff>
      <xdr:row>27</xdr:row>
      <xdr:rowOff>193982</xdr:rowOff>
    </xdr:from>
    <xdr:to>
      <xdr:col>34</xdr:col>
      <xdr:colOff>792221</xdr:colOff>
      <xdr:row>39</xdr:row>
      <xdr:rowOff>189447</xdr:rowOff>
    </xdr:to>
    <xdr:cxnSp macro="">
      <xdr:nvCxnSpPr>
        <xdr:cNvPr id="90" name="Straight Arrow Connector 15">
          <a:extLst>
            <a:ext uri="{FF2B5EF4-FFF2-40B4-BE49-F238E27FC236}">
              <a16:creationId xmlns:a16="http://schemas.microsoft.com/office/drawing/2014/main" id="{16739AAA-5235-1D4F-9273-97DAAA23A298}"/>
            </a:ext>
          </a:extLst>
        </xdr:cNvPr>
        <xdr:cNvCxnSpPr>
          <a:cxnSpLocks/>
          <a:stCxn id="78" idx="3"/>
          <a:endCxn id="89" idx="1"/>
        </xdr:cNvCxnSpPr>
      </xdr:nvCxnSpPr>
      <xdr:spPr>
        <a:xfrm>
          <a:off x="22713543" y="6023282"/>
          <a:ext cx="9117478" cy="2471965"/>
        </a:xfrm>
        <a:prstGeom prst="bentConnector3">
          <a:avLst>
            <a:gd name="adj1" fmla="val 18639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810352</xdr:colOff>
      <xdr:row>33</xdr:row>
      <xdr:rowOff>187605</xdr:rowOff>
    </xdr:from>
    <xdr:to>
      <xdr:col>25</xdr:col>
      <xdr:colOff>691178</xdr:colOff>
      <xdr:row>36</xdr:row>
      <xdr:rowOff>147504</xdr:rowOff>
    </xdr:to>
    <xdr:sp macro="" textlink="">
      <xdr:nvSpPr>
        <xdr:cNvPr id="91" name="Rectangle 90">
          <a:extLst>
            <a:ext uri="{FF2B5EF4-FFF2-40B4-BE49-F238E27FC236}">
              <a16:creationId xmlns:a16="http://schemas.microsoft.com/office/drawing/2014/main" id="{76CE5B98-55F5-7C4E-8470-69C042B91309}"/>
            </a:ext>
          </a:extLst>
        </xdr:cNvPr>
        <xdr:cNvSpPr/>
      </xdr:nvSpPr>
      <xdr:spPr>
        <a:xfrm>
          <a:off x="22705152" y="7236105"/>
          <a:ext cx="1531826" cy="569499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22</xdr:col>
      <xdr:colOff>819892</xdr:colOff>
      <xdr:row>29</xdr:row>
      <xdr:rowOff>119924</xdr:rowOff>
    </xdr:from>
    <xdr:to>
      <xdr:col>24</xdr:col>
      <xdr:colOff>750767</xdr:colOff>
      <xdr:row>33</xdr:row>
      <xdr:rowOff>187604</xdr:rowOff>
    </xdr:to>
    <xdr:cxnSp macro="">
      <xdr:nvCxnSpPr>
        <xdr:cNvPr id="92" name="Straight Arrow Connector 15">
          <a:extLst>
            <a:ext uri="{FF2B5EF4-FFF2-40B4-BE49-F238E27FC236}">
              <a16:creationId xmlns:a16="http://schemas.microsoft.com/office/drawing/2014/main" id="{49296B28-8DED-A24C-8AD2-AABCB083B746}"/>
            </a:ext>
          </a:extLst>
        </xdr:cNvPr>
        <xdr:cNvCxnSpPr>
          <a:cxnSpLocks/>
          <a:stCxn id="78" idx="2"/>
          <a:endCxn id="91" idx="0"/>
        </xdr:cNvCxnSpPr>
      </xdr:nvCxnSpPr>
      <xdr:spPr>
        <a:xfrm rot="16200000" flipH="1">
          <a:off x="22239890" y="6004926"/>
          <a:ext cx="880480" cy="1581875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768350</xdr:colOff>
      <xdr:row>6</xdr:row>
      <xdr:rowOff>12700</xdr:rowOff>
    </xdr:from>
    <xdr:to>
      <xdr:col>22</xdr:col>
      <xdr:colOff>768351</xdr:colOff>
      <xdr:row>15</xdr:row>
      <xdr:rowOff>76200</xdr:rowOff>
    </xdr:to>
    <xdr:cxnSp macro="">
      <xdr:nvCxnSpPr>
        <xdr:cNvPr id="93" name="Straight Arrow Connector 15">
          <a:extLst>
            <a:ext uri="{FF2B5EF4-FFF2-40B4-BE49-F238E27FC236}">
              <a16:creationId xmlns:a16="http://schemas.microsoft.com/office/drawing/2014/main" id="{1E893E78-1E3A-174A-A097-283D07A1D44E}"/>
            </a:ext>
          </a:extLst>
        </xdr:cNvPr>
        <xdr:cNvCxnSpPr>
          <a:stCxn id="28" idx="0"/>
          <a:endCxn id="32" idx="2"/>
        </xdr:cNvCxnSpPr>
      </xdr:nvCxnSpPr>
      <xdr:spPr>
        <a:xfrm rot="5400000" flipH="1" flipV="1">
          <a:off x="20066001" y="1466849"/>
          <a:ext cx="1892300" cy="1651001"/>
        </a:xfrm>
        <a:prstGeom prst="bentConnector3">
          <a:avLst>
            <a:gd name="adj1" fmla="val 49233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579164</xdr:colOff>
      <xdr:row>11</xdr:row>
      <xdr:rowOff>168270</xdr:rowOff>
    </xdr:from>
    <xdr:to>
      <xdr:col>37</xdr:col>
      <xdr:colOff>694439</xdr:colOff>
      <xdr:row>11</xdr:row>
      <xdr:rowOff>172806</xdr:rowOff>
    </xdr:to>
    <xdr:cxnSp macro="">
      <xdr:nvCxnSpPr>
        <xdr:cNvPr id="94" name="Straight Arrow Connector 15">
          <a:extLst>
            <a:ext uri="{FF2B5EF4-FFF2-40B4-BE49-F238E27FC236}">
              <a16:creationId xmlns:a16="http://schemas.microsoft.com/office/drawing/2014/main" id="{8C8DD583-97DF-054E-B464-F17A1BADCE44}"/>
            </a:ext>
          </a:extLst>
        </xdr:cNvPr>
        <xdr:cNvCxnSpPr/>
      </xdr:nvCxnSpPr>
      <xdr:spPr>
        <a:xfrm flipV="1">
          <a:off x="33268964" y="2517770"/>
          <a:ext cx="940775" cy="4536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713483</xdr:colOff>
      <xdr:row>10</xdr:row>
      <xdr:rowOff>71348</xdr:rowOff>
    </xdr:from>
    <xdr:to>
      <xdr:col>39</xdr:col>
      <xdr:colOff>649983</xdr:colOff>
      <xdr:row>13</xdr:row>
      <xdr:rowOff>122149</xdr:rowOff>
    </xdr:to>
    <xdr:sp macro="" textlink="">
      <xdr:nvSpPr>
        <xdr:cNvPr id="95" name="Rectangle 94">
          <a:extLst>
            <a:ext uri="{FF2B5EF4-FFF2-40B4-BE49-F238E27FC236}">
              <a16:creationId xmlns:a16="http://schemas.microsoft.com/office/drawing/2014/main" id="{92214F4B-79EE-DE4C-ACBC-E37D07CD95C1}"/>
            </a:ext>
          </a:extLst>
        </xdr:cNvPr>
        <xdr:cNvSpPr/>
      </xdr:nvSpPr>
      <xdr:spPr>
        <a:xfrm>
          <a:off x="34228783" y="2217648"/>
          <a:ext cx="1587500" cy="660401"/>
        </a:xfrm>
        <a:prstGeom prst="rect">
          <a:avLst/>
        </a:prstGeom>
        <a:solidFill>
          <a:schemeClr val="bg1">
            <a:lumMod val="7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 b="1"/>
            <a:t>Relithiation</a:t>
          </a:r>
        </a:p>
      </xdr:txBody>
    </xdr:sp>
    <xdr:clientData/>
  </xdr:twoCellAnchor>
  <xdr:twoCellAnchor>
    <xdr:from>
      <xdr:col>39</xdr:col>
      <xdr:colOff>660216</xdr:colOff>
      <xdr:row>11</xdr:row>
      <xdr:rowOff>149434</xdr:rowOff>
    </xdr:from>
    <xdr:to>
      <xdr:col>40</xdr:col>
      <xdr:colOff>775491</xdr:colOff>
      <xdr:row>11</xdr:row>
      <xdr:rowOff>153970</xdr:rowOff>
    </xdr:to>
    <xdr:cxnSp macro="">
      <xdr:nvCxnSpPr>
        <xdr:cNvPr id="96" name="Straight Arrow Connector 15">
          <a:extLst>
            <a:ext uri="{FF2B5EF4-FFF2-40B4-BE49-F238E27FC236}">
              <a16:creationId xmlns:a16="http://schemas.microsoft.com/office/drawing/2014/main" id="{3C3BF14E-81F7-A346-BA50-122D6BFBB93B}"/>
            </a:ext>
          </a:extLst>
        </xdr:cNvPr>
        <xdr:cNvCxnSpPr/>
      </xdr:nvCxnSpPr>
      <xdr:spPr>
        <a:xfrm flipV="1">
          <a:off x="35826516" y="2498934"/>
          <a:ext cx="940775" cy="4536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799102</xdr:colOff>
      <xdr:row>10</xdr:row>
      <xdr:rowOff>114157</xdr:rowOff>
    </xdr:from>
    <xdr:to>
      <xdr:col>42</xdr:col>
      <xdr:colOff>557802</xdr:colOff>
      <xdr:row>13</xdr:row>
      <xdr:rowOff>25257</xdr:rowOff>
    </xdr:to>
    <xdr:sp macro="" textlink="">
      <xdr:nvSpPr>
        <xdr:cNvPr id="97" name="Rectangle 96">
          <a:extLst>
            <a:ext uri="{FF2B5EF4-FFF2-40B4-BE49-F238E27FC236}">
              <a16:creationId xmlns:a16="http://schemas.microsoft.com/office/drawing/2014/main" id="{DD47620F-8101-7A4C-B674-1672B6907B73}"/>
            </a:ext>
          </a:extLst>
        </xdr:cNvPr>
        <xdr:cNvSpPr/>
      </xdr:nvSpPr>
      <xdr:spPr>
        <a:xfrm>
          <a:off x="36790902" y="2260457"/>
          <a:ext cx="1409700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36</xdr:col>
      <xdr:colOff>772717</xdr:colOff>
      <xdr:row>4</xdr:row>
      <xdr:rowOff>198756</xdr:rowOff>
    </xdr:from>
    <xdr:to>
      <xdr:col>38</xdr:col>
      <xdr:colOff>531418</xdr:colOff>
      <xdr:row>7</xdr:row>
      <xdr:rowOff>67047</xdr:rowOff>
    </xdr:to>
    <xdr:sp macro="" textlink="">
      <xdr:nvSpPr>
        <xdr:cNvPr id="98" name="Rectangle 97">
          <a:extLst>
            <a:ext uri="{FF2B5EF4-FFF2-40B4-BE49-F238E27FC236}">
              <a16:creationId xmlns:a16="http://schemas.microsoft.com/office/drawing/2014/main" id="{E6D2EE22-9BE4-584B-8C5A-7E3EE2F32A6D}"/>
            </a:ext>
          </a:extLst>
        </xdr:cNvPr>
        <xdr:cNvSpPr/>
      </xdr:nvSpPr>
      <xdr:spPr>
        <a:xfrm>
          <a:off x="33462517" y="1087756"/>
          <a:ext cx="1409701" cy="51599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38</xdr:col>
      <xdr:colOff>739612</xdr:colOff>
      <xdr:row>4</xdr:row>
      <xdr:rowOff>179920</xdr:rowOff>
    </xdr:from>
    <xdr:to>
      <xdr:col>40</xdr:col>
      <xdr:colOff>498312</xdr:colOff>
      <xdr:row>7</xdr:row>
      <xdr:rowOff>48211</xdr:rowOff>
    </xdr:to>
    <xdr:sp macro="" textlink="">
      <xdr:nvSpPr>
        <xdr:cNvPr id="99" name="Rectangle 98">
          <a:extLst>
            <a:ext uri="{FF2B5EF4-FFF2-40B4-BE49-F238E27FC236}">
              <a16:creationId xmlns:a16="http://schemas.microsoft.com/office/drawing/2014/main" id="{891A5E95-CCD0-A944-9AFA-31964F4A4EF0}"/>
            </a:ext>
          </a:extLst>
        </xdr:cNvPr>
        <xdr:cNvSpPr/>
      </xdr:nvSpPr>
      <xdr:spPr>
        <a:xfrm>
          <a:off x="35080412" y="1068920"/>
          <a:ext cx="1409700" cy="515991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37</xdr:col>
      <xdr:colOff>652069</xdr:colOff>
      <xdr:row>7</xdr:row>
      <xdr:rowOff>67046</xdr:rowOff>
    </xdr:from>
    <xdr:to>
      <xdr:col>38</xdr:col>
      <xdr:colOff>681735</xdr:colOff>
      <xdr:row>10</xdr:row>
      <xdr:rowOff>71347</xdr:rowOff>
    </xdr:to>
    <xdr:cxnSp macro="">
      <xdr:nvCxnSpPr>
        <xdr:cNvPr id="100" name="Straight Arrow Connector 15">
          <a:extLst>
            <a:ext uri="{FF2B5EF4-FFF2-40B4-BE49-F238E27FC236}">
              <a16:creationId xmlns:a16="http://schemas.microsoft.com/office/drawing/2014/main" id="{BFA7BA73-EC10-FA4A-B197-D359BB819A7F}"/>
            </a:ext>
          </a:extLst>
        </xdr:cNvPr>
        <xdr:cNvCxnSpPr>
          <a:stCxn id="98" idx="2"/>
          <a:endCxn id="95" idx="0"/>
        </xdr:cNvCxnSpPr>
      </xdr:nvCxnSpPr>
      <xdr:spPr>
        <a:xfrm rot="16200000" flipH="1">
          <a:off x="34288001" y="1483114"/>
          <a:ext cx="613901" cy="855166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681735</xdr:colOff>
      <xdr:row>7</xdr:row>
      <xdr:rowOff>48211</xdr:rowOff>
    </xdr:from>
    <xdr:to>
      <xdr:col>39</xdr:col>
      <xdr:colOff>618963</xdr:colOff>
      <xdr:row>10</xdr:row>
      <xdr:rowOff>71348</xdr:rowOff>
    </xdr:to>
    <xdr:cxnSp macro="">
      <xdr:nvCxnSpPr>
        <xdr:cNvPr id="101" name="Straight Arrow Connector 15">
          <a:extLst>
            <a:ext uri="{FF2B5EF4-FFF2-40B4-BE49-F238E27FC236}">
              <a16:creationId xmlns:a16="http://schemas.microsoft.com/office/drawing/2014/main" id="{10808E0F-A07F-D64E-8F02-19934E280292}"/>
            </a:ext>
          </a:extLst>
        </xdr:cNvPr>
        <xdr:cNvCxnSpPr>
          <a:stCxn id="99" idx="2"/>
          <a:endCxn id="95" idx="0"/>
        </xdr:cNvCxnSpPr>
      </xdr:nvCxnSpPr>
      <xdr:spPr>
        <a:xfrm rot="5400000">
          <a:off x="35087530" y="1519916"/>
          <a:ext cx="632737" cy="762728"/>
        </a:xfrm>
        <a:prstGeom prst="bentConnector3">
          <a:avLst>
            <a:gd name="adj1" fmla="val 50000"/>
          </a:avLst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681734</xdr:colOff>
      <xdr:row>13</xdr:row>
      <xdr:rowOff>122149</xdr:rowOff>
    </xdr:from>
    <xdr:to>
      <xdr:col>38</xdr:col>
      <xdr:colOff>690868</xdr:colOff>
      <xdr:row>16</xdr:row>
      <xdr:rowOff>165651</xdr:rowOff>
    </xdr:to>
    <xdr:cxnSp macro="">
      <xdr:nvCxnSpPr>
        <xdr:cNvPr id="102" name="Straight Arrow Connector 15">
          <a:extLst>
            <a:ext uri="{FF2B5EF4-FFF2-40B4-BE49-F238E27FC236}">
              <a16:creationId xmlns:a16="http://schemas.microsoft.com/office/drawing/2014/main" id="{0ED11D87-0E1B-E141-A390-F65A48F66B5F}"/>
            </a:ext>
          </a:extLst>
        </xdr:cNvPr>
        <xdr:cNvCxnSpPr>
          <a:stCxn id="95" idx="2"/>
          <a:endCxn id="103" idx="0"/>
        </xdr:cNvCxnSpPr>
      </xdr:nvCxnSpPr>
      <xdr:spPr>
        <a:xfrm>
          <a:off x="35022534" y="2878049"/>
          <a:ext cx="9134" cy="653102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368592</xdr:colOff>
      <xdr:row>16</xdr:row>
      <xdr:rowOff>165651</xdr:rowOff>
    </xdr:from>
    <xdr:to>
      <xdr:col>40</xdr:col>
      <xdr:colOff>185503</xdr:colOff>
      <xdr:row>19</xdr:row>
      <xdr:rowOff>76751</xdr:rowOff>
    </xdr:to>
    <xdr:sp macro="" textlink="">
      <xdr:nvSpPr>
        <xdr:cNvPr id="103" name="Rectangle 102">
          <a:extLst>
            <a:ext uri="{FF2B5EF4-FFF2-40B4-BE49-F238E27FC236}">
              <a16:creationId xmlns:a16="http://schemas.microsoft.com/office/drawing/2014/main" id="{F4549346-477D-6F44-8D34-471C907E8EAA}"/>
            </a:ext>
          </a:extLst>
        </xdr:cNvPr>
        <xdr:cNvSpPr/>
      </xdr:nvSpPr>
      <xdr:spPr>
        <a:xfrm>
          <a:off x="33883892" y="3531151"/>
          <a:ext cx="2293411" cy="5207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359834</xdr:colOff>
      <xdr:row>6</xdr:row>
      <xdr:rowOff>95250</xdr:rowOff>
    </xdr:from>
    <xdr:to>
      <xdr:col>8</xdr:col>
      <xdr:colOff>206375</xdr:colOff>
      <xdr:row>11</xdr:row>
      <xdr:rowOff>105833</xdr:rowOff>
    </xdr:to>
    <xdr:cxnSp macro="">
      <xdr:nvCxnSpPr>
        <xdr:cNvPr id="104" name="Elbow Connector 103">
          <a:extLst>
            <a:ext uri="{FF2B5EF4-FFF2-40B4-BE49-F238E27FC236}">
              <a16:creationId xmlns:a16="http://schemas.microsoft.com/office/drawing/2014/main" id="{705889B2-609F-E941-9D77-DAE2D7B2DC60}"/>
            </a:ext>
          </a:extLst>
        </xdr:cNvPr>
        <xdr:cNvCxnSpPr/>
      </xdr:nvCxnSpPr>
      <xdr:spPr>
        <a:xfrm flipV="1">
          <a:off x="2950634" y="1428750"/>
          <a:ext cx="6044141" cy="1026583"/>
        </a:xfrm>
        <a:prstGeom prst="bentConnector3">
          <a:avLst/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222250</xdr:colOff>
      <xdr:row>2</xdr:row>
      <xdr:rowOff>158750</xdr:rowOff>
    </xdr:from>
    <xdr:to>
      <xdr:col>9</xdr:col>
      <xdr:colOff>238125</xdr:colOff>
      <xdr:row>6</xdr:row>
      <xdr:rowOff>95250</xdr:rowOff>
    </xdr:to>
    <xdr:cxnSp macro="">
      <xdr:nvCxnSpPr>
        <xdr:cNvPr id="105" name="Elbow Connector 104">
          <a:extLst>
            <a:ext uri="{FF2B5EF4-FFF2-40B4-BE49-F238E27FC236}">
              <a16:creationId xmlns:a16="http://schemas.microsoft.com/office/drawing/2014/main" id="{6DFD40C0-2030-BE40-8DC4-D2BDBF987A54}"/>
            </a:ext>
          </a:extLst>
        </xdr:cNvPr>
        <xdr:cNvCxnSpPr/>
      </xdr:nvCxnSpPr>
      <xdr:spPr>
        <a:xfrm flipV="1">
          <a:off x="9010650" y="641350"/>
          <a:ext cx="955675" cy="787400"/>
        </a:xfrm>
        <a:prstGeom prst="bentConnector3">
          <a:avLst/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317499</xdr:colOff>
      <xdr:row>2</xdr:row>
      <xdr:rowOff>158749</xdr:rowOff>
    </xdr:from>
    <xdr:to>
      <xdr:col>39</xdr:col>
      <xdr:colOff>492125</xdr:colOff>
      <xdr:row>14</xdr:row>
      <xdr:rowOff>79375</xdr:rowOff>
    </xdr:to>
    <xdr:cxnSp macro="">
      <xdr:nvCxnSpPr>
        <xdr:cNvPr id="106" name="Elbow Connector 105">
          <a:extLst>
            <a:ext uri="{FF2B5EF4-FFF2-40B4-BE49-F238E27FC236}">
              <a16:creationId xmlns:a16="http://schemas.microsoft.com/office/drawing/2014/main" id="{AEB97C98-F183-A344-8116-8173ED00EC68}"/>
            </a:ext>
          </a:extLst>
        </xdr:cNvPr>
        <xdr:cNvCxnSpPr/>
      </xdr:nvCxnSpPr>
      <xdr:spPr>
        <a:xfrm>
          <a:off x="10045699" y="641349"/>
          <a:ext cx="25612726" cy="2397126"/>
        </a:xfrm>
        <a:prstGeom prst="bentConnector3">
          <a:avLst>
            <a:gd name="adj1" fmla="val 103905"/>
          </a:avLst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777875</xdr:colOff>
      <xdr:row>14</xdr:row>
      <xdr:rowOff>79375</xdr:rowOff>
    </xdr:from>
    <xdr:to>
      <xdr:col>39</xdr:col>
      <xdr:colOff>381000</xdr:colOff>
      <xdr:row>15</xdr:row>
      <xdr:rowOff>47625</xdr:rowOff>
    </xdr:to>
    <xdr:cxnSp macro="">
      <xdr:nvCxnSpPr>
        <xdr:cNvPr id="107" name="Elbow Connector 106">
          <a:extLst>
            <a:ext uri="{FF2B5EF4-FFF2-40B4-BE49-F238E27FC236}">
              <a16:creationId xmlns:a16="http://schemas.microsoft.com/office/drawing/2014/main" id="{2382F4D0-B44C-B044-AEE5-517C87392A49}"/>
            </a:ext>
          </a:extLst>
        </xdr:cNvPr>
        <xdr:cNvCxnSpPr/>
      </xdr:nvCxnSpPr>
      <xdr:spPr>
        <a:xfrm flipV="1">
          <a:off x="11941175" y="3038475"/>
          <a:ext cx="23606125" cy="171450"/>
        </a:xfrm>
        <a:prstGeom prst="bentConnector3">
          <a:avLst>
            <a:gd name="adj1" fmla="val 50000"/>
          </a:avLst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338667</xdr:colOff>
      <xdr:row>15</xdr:row>
      <xdr:rowOff>21168</xdr:rowOff>
    </xdr:from>
    <xdr:to>
      <xdr:col>10</xdr:col>
      <xdr:colOff>381002</xdr:colOff>
      <xdr:row>18</xdr:row>
      <xdr:rowOff>0</xdr:rowOff>
    </xdr:to>
    <xdr:cxnSp macro="">
      <xdr:nvCxnSpPr>
        <xdr:cNvPr id="108" name="Elbow Connector 107">
          <a:extLst>
            <a:ext uri="{FF2B5EF4-FFF2-40B4-BE49-F238E27FC236}">
              <a16:creationId xmlns:a16="http://schemas.microsoft.com/office/drawing/2014/main" id="{CD628130-C5ED-1D49-BEE8-48CE3441B819}"/>
            </a:ext>
          </a:extLst>
        </xdr:cNvPr>
        <xdr:cNvCxnSpPr/>
      </xdr:nvCxnSpPr>
      <xdr:spPr>
        <a:xfrm flipV="1">
          <a:off x="2929467" y="3183468"/>
          <a:ext cx="8614835" cy="588432"/>
        </a:xfrm>
        <a:prstGeom prst="bentConnector3">
          <a:avLst>
            <a:gd name="adj1" fmla="val 50000"/>
          </a:avLst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359835</xdr:colOff>
      <xdr:row>12</xdr:row>
      <xdr:rowOff>63499</xdr:rowOff>
    </xdr:from>
    <xdr:to>
      <xdr:col>2</xdr:col>
      <xdr:colOff>381001</xdr:colOff>
      <xdr:row>17</xdr:row>
      <xdr:rowOff>126999</xdr:rowOff>
    </xdr:to>
    <xdr:cxnSp macro="">
      <xdr:nvCxnSpPr>
        <xdr:cNvPr id="109" name="Elbow Connector 108">
          <a:extLst>
            <a:ext uri="{FF2B5EF4-FFF2-40B4-BE49-F238E27FC236}">
              <a16:creationId xmlns:a16="http://schemas.microsoft.com/office/drawing/2014/main" id="{D873994A-C44A-6346-AB89-168BF4DE09B4}"/>
            </a:ext>
          </a:extLst>
        </xdr:cNvPr>
        <xdr:cNvCxnSpPr/>
      </xdr:nvCxnSpPr>
      <xdr:spPr>
        <a:xfrm rot="5400000">
          <a:off x="2421468" y="3145366"/>
          <a:ext cx="1079500" cy="21166"/>
        </a:xfrm>
        <a:prstGeom prst="bentConnector3">
          <a:avLst/>
        </a:prstGeom>
        <a:ln w="38100">
          <a:solidFill>
            <a:schemeClr val="tx1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9071</xdr:colOff>
      <xdr:row>5</xdr:row>
      <xdr:rowOff>27214</xdr:rowOff>
    </xdr:from>
    <xdr:to>
      <xdr:col>5</xdr:col>
      <xdr:colOff>108547</xdr:colOff>
      <xdr:row>14</xdr:row>
      <xdr:rowOff>43419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F52014-275E-C240-9562-FC7302B49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9071</xdr:colOff>
      <xdr:row>5</xdr:row>
      <xdr:rowOff>27214</xdr:rowOff>
    </xdr:from>
    <xdr:to>
      <xdr:col>5</xdr:col>
      <xdr:colOff>191182</xdr:colOff>
      <xdr:row>35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E31D40-13E9-9A73-BCE9-AC19A240A8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897466</xdr:colOff>
      <xdr:row>42</xdr:row>
      <xdr:rowOff>102396</xdr:rowOff>
    </xdr:from>
    <xdr:to>
      <xdr:col>4</xdr:col>
      <xdr:colOff>3589298</xdr:colOff>
      <xdr:row>63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55A360-86B7-9934-28FA-D1945BE47F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ham-my.sharepoint.com/personal/e_h_driscoll_bham_ac_uk/Documents/Papers/CALB%20LFP/Draft/Shared/Review/UBIRA%20Submission/LCA/EF31_market_for_water__deionised___water__deionised___Cutoff__S___Europe_without_Switzerland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EF31_copper_collector_foil_production__for_Li_ion_battery___copper_collector_foil__for_Li_ion_battery___Cutoff__S___GLO.xlsx?644958E6" TargetMode="External"/><Relationship Id="rId1" Type="http://schemas.openxmlformats.org/officeDocument/2006/relationships/externalLinkPath" Target="file:///\\644958E6\EF31_copper_collector_foil_production__for_Li_ion_battery___copper_collector_foil__for_Li_ion_battery___Cutoff__S___GLO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ham-my.sharepoint.com/personal/e_h_driscoll_bham_ac_uk/Documents/Papers/CALB%20LFP/Draft/Shared/Review/UBIRA%20Submission/LCA/EF31_graphite_production__battery_grade___graphite__battery_grade___Cutoff__S___RoW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ham-my.sharepoint.com/personal/e_h_driscoll_bham_ac_uk/Documents/Papers/CALB%20LFP/Draft/Shared/Review/UBIRA%20Submission/LCA/EF31_lithium_iron_phosphate_production__hydrothermal_process___lithium_iron_phosphate___Cutoff__S___CN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ham-my.sharepoint.com/personal/e_h_driscoll_bham_ac_uk/Documents/Papers/CALB%20LFP/Draft/Shared/Review/UBIRA%20Submission/LCA/EF31_lithium_iron_phosphate_production__solid_state_process___lithium_iron_phosphate___Cutoff__S___C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ham-my.sharepoint.com/personal/e_h_driscoll_bham_ac_uk/Documents/Papers/CALB%20LFP/Draft/Shared/Review/UBIRA%20Submission/LCA/EF31_electricity__medium_voltage__residual_mix___electricity__medium_voltage___Cutoff__S___GB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EF31_treatment_of_spent_solvent_mixture__hazardous_waste_incineration___spent_solvent_mixture___Cutoff__S___Europe_without_Switzerland.xlsx?644958E6" TargetMode="External"/><Relationship Id="rId1" Type="http://schemas.openxmlformats.org/officeDocument/2006/relationships/externalLinkPath" Target="file:///\\644958E6\EF31_treatment_of_spent_solvent_mixture__hazardous_waste_incineration___spent_solvent_mixture___Cutoff__S___Europe_without_Switzerla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ham-my.sharepoint.com/personal/e_h_driscoll_bham_ac_uk/Documents/Papers/CALB%20LFP/Draft/Shared/Review/UBIRA%20Submission/LCA/EF31_market_for_waste_plastic__mixture___waste_plastic__mixture___Cutoff__S___GB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ham-my.sharepoint.com/personal/e_h_driscoll_bham_ac_uk/Documents/Papers/CALB%20LFP/Draft/Shared/Review/UBIRA%20Submission/LCA/EF31_treatment_of_waste_aluminium__sanitary_landfill___waste_aluminium___Cutoff__S___RoW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EF31_market_for_hazardous_waste__for_incineration___hazardous_waste__for_incineration___Cutoff__S___Europe_without_Switzerland.xlsx?644958E6" TargetMode="External"/><Relationship Id="rId1" Type="http://schemas.openxmlformats.org/officeDocument/2006/relationships/externalLinkPath" Target="file:///\\644958E6\EF31_market_for_hazardous_waste__for_incineration___hazardous_waste__for_incineration___Cutoff__S___Europe_without_Switzerlan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ham-my.sharepoint.com/personal/e_h_driscoll_bham_ac_uk/Documents/Papers/CALB%20LFP/Draft/Shared/Review/UBIRA%20Submission/LCA/EF31_lithium_carbonate_production__from_concentrated_brine___lithium_carbonate___Cutoff__S___GLO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ham-my.sharepoint.com/personal/e_h_driscoll_bham_ac_uk/Documents/Papers/CALB%20LFP/Draft/Shared/Review/UBIRA%20Submission/LCA/EF31_treatment_of_municipal_solid_waste__sanitary_landfill___municipal_solid_waste___Cutoff__S___RoW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EF31_aluminium_collector_foil_production__for_Li_ion_battery___aluminium_collector_foil__for_Li_ion_battery___Cutoff__S___GLO.xlsx?644958E6" TargetMode="External"/><Relationship Id="rId1" Type="http://schemas.openxmlformats.org/officeDocument/2006/relationships/externalLinkPath" Target="file:///\\644958E6\EF31_aluminium_collector_foil_production__for_Li_ion_battery___aluminium_collector_foil__for_Li_ion_battery___Cutoff__S___G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4.692122229165509E-6</v>
          </cell>
        </row>
        <row r="4">
          <cell r="E4">
            <v>4.3346250721589972E-4</v>
          </cell>
        </row>
        <row r="5">
          <cell r="E5">
            <v>3.4720939131139716E-5</v>
          </cell>
        </row>
        <row r="6">
          <cell r="E6">
            <v>3.9819375974749606E-4</v>
          </cell>
        </row>
        <row r="7">
          <cell r="E7">
            <v>5.478083372639661E-7</v>
          </cell>
        </row>
        <row r="8">
          <cell r="E8">
            <v>5.0651928933471584E-2</v>
          </cell>
        </row>
        <row r="9">
          <cell r="E9">
            <v>5.04202256290271E-2</v>
          </cell>
        </row>
        <row r="10">
          <cell r="E10">
            <v>2.3170330444452055E-4</v>
          </cell>
        </row>
        <row r="11">
          <cell r="E11">
            <v>5.3652433539815641E-3</v>
          </cell>
        </row>
        <row r="12">
          <cell r="E12">
            <v>1.5551201792547164E-7</v>
          </cell>
        </row>
        <row r="13">
          <cell r="E13">
            <v>3.9590753719851674E-7</v>
          </cell>
        </row>
        <row r="14">
          <cell r="E14">
            <v>4.0229991273403295E-6</v>
          </cell>
        </row>
        <row r="15">
          <cell r="E15">
            <v>3.8365193261568331E-13</v>
          </cell>
        </row>
        <row r="16">
          <cell r="E16">
            <v>2.4593996210056541E-13</v>
          </cell>
        </row>
        <row r="17">
          <cell r="E17">
            <v>1.377119705151178E-13</v>
          </cell>
        </row>
        <row r="18">
          <cell r="E18">
            <v>9.0311567352861167E-12</v>
          </cell>
        </row>
        <row r="19">
          <cell r="E19">
            <v>8.6611564641843051E-12</v>
          </cell>
        </row>
        <row r="20">
          <cell r="E20">
            <v>3.7000027110181791E-13</v>
          </cell>
        </row>
        <row r="21">
          <cell r="E21">
            <v>4.5414803455755116E-5</v>
          </cell>
        </row>
        <row r="22">
          <cell r="E22">
            <v>1.7326931978326493E-3</v>
          </cell>
        </row>
        <row r="23">
          <cell r="E23">
            <v>8.5960332802556657E-9</v>
          </cell>
        </row>
        <row r="24">
          <cell r="E24">
            <v>2.2251833779696891E-10</v>
          </cell>
        </row>
        <row r="25">
          <cell r="E25">
            <v>3.7436311437297282E-11</v>
          </cell>
        </row>
        <row r="26">
          <cell r="E26">
            <v>1.4898266188380236E-6</v>
          </cell>
        </row>
        <row r="27">
          <cell r="E27">
            <v>9.9983654370300323E-4</v>
          </cell>
        </row>
      </sheetData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0.58749405299425073</v>
          </cell>
        </row>
        <row r="4">
          <cell r="E4">
            <v>8.6332815325184775</v>
          </cell>
        </row>
        <row r="5">
          <cell r="E5">
            <v>3.4777896412578509E-2</v>
          </cell>
        </row>
        <row r="6">
          <cell r="E6">
            <v>8.5832331748444908</v>
          </cell>
        </row>
        <row r="7">
          <cell r="E7">
            <v>1.5270461261407664E-2</v>
          </cell>
        </row>
        <row r="8">
          <cell r="E8">
            <v>673.56977155388222</v>
          </cell>
        </row>
        <row r="9">
          <cell r="E9">
            <v>670.77161273677177</v>
          </cell>
        </row>
        <row r="10">
          <cell r="E10">
            <v>2.7981588171104486</v>
          </cell>
        </row>
        <row r="11">
          <cell r="E11">
            <v>99.3153029238551</v>
          </cell>
        </row>
        <row r="12">
          <cell r="E12">
            <v>4.6086891712159871E-2</v>
          </cell>
        </row>
        <row r="13">
          <cell r="E13">
            <v>2.9407779776040751E-2</v>
          </cell>
        </row>
        <row r="14">
          <cell r="E14">
            <v>0.40761470272968248</v>
          </cell>
        </row>
        <row r="15">
          <cell r="E15">
            <v>8.8473037800483222E-8</v>
          </cell>
        </row>
        <row r="16">
          <cell r="E16">
            <v>8.5761408009740092E-8</v>
          </cell>
        </row>
        <row r="17">
          <cell r="E17">
            <v>2.7116297907431765E-9</v>
          </cell>
        </row>
        <row r="18">
          <cell r="E18">
            <v>7.7077423391989387E-6</v>
          </cell>
        </row>
        <row r="19">
          <cell r="E19">
            <v>7.3363457626915433E-6</v>
          </cell>
        </row>
        <row r="20">
          <cell r="E20">
            <v>3.7139657650739182E-7</v>
          </cell>
        </row>
        <row r="21">
          <cell r="E21">
            <v>0.85099835872855734</v>
          </cell>
        </row>
        <row r="22">
          <cell r="E22">
            <v>192.42331380779376</v>
          </cell>
        </row>
        <row r="23">
          <cell r="E23">
            <v>7.4891235295090602E-3</v>
          </cell>
        </row>
        <row r="24">
          <cell r="E24">
            <v>3.4442580926455439E-7</v>
          </cell>
        </row>
        <row r="25">
          <cell r="E25">
            <v>1.3836141551185452E-6</v>
          </cell>
        </row>
        <row r="26">
          <cell r="E26">
            <v>0.11589553837849334</v>
          </cell>
        </row>
        <row r="27">
          <cell r="E27">
            <v>7.020254666086065</v>
          </cell>
        </row>
      </sheetData>
      <sheetData sheetId="3"/>
      <sheetData sheetId="4"/>
      <sheetData sheetId="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1.0387114286396215E-2</v>
          </cell>
        </row>
        <row r="4">
          <cell r="E4">
            <v>1.5951529423415995</v>
          </cell>
        </row>
        <row r="5">
          <cell r="E5">
            <v>2.1393481516616131E-3</v>
          </cell>
        </row>
        <row r="6">
          <cell r="E6">
            <v>1.5906360336957315</v>
          </cell>
        </row>
        <row r="7">
          <cell r="E7">
            <v>2.3775604942064292E-3</v>
          </cell>
        </row>
        <row r="8">
          <cell r="E8">
            <v>10.628984234907106</v>
          </cell>
        </row>
        <row r="9">
          <cell r="E9">
            <v>10.206532798813759</v>
          </cell>
        </row>
        <row r="10">
          <cell r="E10">
            <v>0.42245143609335811</v>
          </cell>
        </row>
        <row r="11">
          <cell r="E11">
            <v>47.393268025670253</v>
          </cell>
        </row>
        <row r="12">
          <cell r="E12">
            <v>1.9426190290390743E-3</v>
          </cell>
        </row>
        <row r="13">
          <cell r="E13">
            <v>2.1128376567114862E-3</v>
          </cell>
        </row>
        <row r="14">
          <cell r="E14">
            <v>1.9878825438980965E-2</v>
          </cell>
        </row>
        <row r="15">
          <cell r="E15">
            <v>3.2093403427277129E-8</v>
          </cell>
        </row>
        <row r="16">
          <cell r="E16">
            <v>2.5350370922459416E-10</v>
          </cell>
        </row>
        <row r="17">
          <cell r="E17">
            <v>3.1839899718052531E-8</v>
          </cell>
        </row>
        <row r="18">
          <cell r="E18">
            <v>1.1619597425237926E-8</v>
          </cell>
        </row>
        <row r="19">
          <cell r="E19">
            <v>1.0344486538117389E-8</v>
          </cell>
        </row>
        <row r="20">
          <cell r="E20">
            <v>1.2751108871205295E-9</v>
          </cell>
        </row>
        <row r="21">
          <cell r="E21">
            <v>0.14619455173329166</v>
          </cell>
        </row>
        <row r="22">
          <cell r="E22">
            <v>7.9652801670098814</v>
          </cell>
        </row>
        <row r="23">
          <cell r="E23">
            <v>1.3033123294273286E-6</v>
          </cell>
        </row>
        <row r="24">
          <cell r="E24">
            <v>1.3383850048950764E-7</v>
          </cell>
        </row>
        <row r="25">
          <cell r="E25">
            <v>1.8094930355221074E-7</v>
          </cell>
        </row>
        <row r="26">
          <cell r="E26">
            <v>1.8782231899980465E-2</v>
          </cell>
        </row>
        <row r="27">
          <cell r="E27">
            <v>0.37569519824570369</v>
          </cell>
        </row>
      </sheetData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6.6761140076208772E-2</v>
          </cell>
        </row>
        <row r="4">
          <cell r="E4">
            <v>7.5676276059335299</v>
          </cell>
        </row>
        <row r="5">
          <cell r="E5">
            <v>1.7403479632592145E-2</v>
          </cell>
        </row>
        <row r="6">
          <cell r="E6">
            <v>7.5416866076684528</v>
          </cell>
        </row>
        <row r="7">
          <cell r="E7">
            <v>8.5375186324849629E-3</v>
          </cell>
        </row>
        <row r="8">
          <cell r="E8">
            <v>120.55990036821608</v>
          </cell>
        </row>
        <row r="9">
          <cell r="E9">
            <v>118.42571239987841</v>
          </cell>
        </row>
        <row r="10">
          <cell r="E10">
            <v>2.1341879683376392</v>
          </cell>
        </row>
        <row r="11">
          <cell r="E11">
            <v>89.490681375672807</v>
          </cell>
        </row>
        <row r="12">
          <cell r="E12">
            <v>4.2825839604744998E-3</v>
          </cell>
        </row>
        <row r="13">
          <cell r="E13">
            <v>2.1086987878596791E-2</v>
          </cell>
        </row>
        <row r="14">
          <cell r="E14">
            <v>0.10846933483487085</v>
          </cell>
        </row>
        <row r="15">
          <cell r="E15">
            <v>6.6478160051567666E-9</v>
          </cell>
        </row>
        <row r="16">
          <cell r="E16">
            <v>5.461171204542512E-9</v>
          </cell>
        </row>
        <row r="17">
          <cell r="E17">
            <v>1.1866448006142565E-9</v>
          </cell>
        </row>
        <row r="18">
          <cell r="E18">
            <v>2.2226768596919941E-7</v>
          </cell>
        </row>
        <row r="19">
          <cell r="E19">
            <v>2.1387640134039525E-7</v>
          </cell>
        </row>
        <row r="20">
          <cell r="E20">
            <v>8.3912846288043581E-9</v>
          </cell>
        </row>
        <row r="21">
          <cell r="E21">
            <v>0.31942899240802053</v>
          </cell>
        </row>
        <row r="22">
          <cell r="E22">
            <v>55.983731225193388</v>
          </cell>
        </row>
        <row r="23">
          <cell r="E23">
            <v>1.8737984921359958E-4</v>
          </cell>
        </row>
        <row r="24">
          <cell r="E24">
            <v>2.7800041041247628E-7</v>
          </cell>
        </row>
        <row r="25">
          <cell r="E25">
            <v>5.2260128652054334E-7</v>
          </cell>
        </row>
        <row r="26">
          <cell r="E26">
            <v>3.2074180484738209E-2</v>
          </cell>
        </row>
        <row r="27">
          <cell r="E27">
            <v>5.3738143766703645</v>
          </cell>
        </row>
      </sheetData>
      <sheetData sheetId="3"/>
      <sheetData sheetId="4"/>
      <sheetData sheetId="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0.69556859200583709</v>
          </cell>
        </row>
        <row r="4">
          <cell r="E4">
            <v>4.9551203879032162</v>
          </cell>
        </row>
        <row r="5">
          <cell r="E5">
            <v>8.2775415413691416E-3</v>
          </cell>
        </row>
        <row r="6">
          <cell r="E6">
            <v>4.9393887925507238</v>
          </cell>
        </row>
        <row r="7">
          <cell r="E7">
            <v>7.4540538111227267E-3</v>
          </cell>
        </row>
        <row r="8">
          <cell r="E8">
            <v>86.292464287529398</v>
          </cell>
        </row>
        <row r="9">
          <cell r="E9">
            <v>84.932364080039306</v>
          </cell>
        </row>
        <row r="10">
          <cell r="E10">
            <v>1.3601002074901196</v>
          </cell>
        </row>
        <row r="11">
          <cell r="E11">
            <v>52.558771485241664</v>
          </cell>
        </row>
        <row r="12">
          <cell r="E12">
            <v>2.212206126596776E-3</v>
          </cell>
        </row>
        <row r="13">
          <cell r="E13">
            <v>3.0354461376226018E-2</v>
          </cell>
        </row>
        <row r="14">
          <cell r="E14">
            <v>2.9755031732617856</v>
          </cell>
        </row>
        <row r="15">
          <cell r="E15">
            <v>5.3202323766448651E-9</v>
          </cell>
        </row>
        <row r="16">
          <cell r="E16">
            <v>2.4767438869403731E-9</v>
          </cell>
        </row>
        <row r="17">
          <cell r="E17">
            <v>2.8434884897044949E-9</v>
          </cell>
        </row>
        <row r="18">
          <cell r="E18">
            <v>1.5207260757816742E-7</v>
          </cell>
        </row>
        <row r="19">
          <cell r="E19">
            <v>1.4574167530731435E-7</v>
          </cell>
        </row>
        <row r="20">
          <cell r="E20">
            <v>6.3309322708530393E-9</v>
          </cell>
        </row>
        <row r="21">
          <cell r="E21">
            <v>0.23937809580369748</v>
          </cell>
        </row>
        <row r="22">
          <cell r="E22">
            <v>56.104088231571978</v>
          </cell>
        </row>
        <row r="23">
          <cell r="E23">
            <v>1.4416120193658379E-4</v>
          </cell>
        </row>
        <row r="24">
          <cell r="E24">
            <v>2.414621147941686E-7</v>
          </cell>
        </row>
        <row r="25">
          <cell r="E25">
            <v>4.9637278717540436E-6</v>
          </cell>
        </row>
        <row r="26">
          <cell r="E26">
            <v>2.0306474447019846E-2</v>
          </cell>
        </row>
        <row r="27">
          <cell r="E27">
            <v>3.9773633535713429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9.1864337981141639E-4</v>
          </cell>
        </row>
        <row r="4">
          <cell r="E4">
            <v>0.4281769097339172</v>
          </cell>
        </row>
        <row r="5">
          <cell r="E5">
            <v>5.13300207451005E-5</v>
          </cell>
        </row>
        <row r="6">
          <cell r="E6">
            <v>0.42807838732696796</v>
          </cell>
        </row>
        <row r="7">
          <cell r="E7">
            <v>4.7192386204149598E-5</v>
          </cell>
        </row>
        <row r="8">
          <cell r="E8">
            <v>0.6004619964165292</v>
          </cell>
        </row>
        <row r="9">
          <cell r="E9">
            <v>0.47284033483743321</v>
          </cell>
        </row>
        <row r="10">
          <cell r="E10">
            <v>0.12762166157909643</v>
          </cell>
        </row>
        <row r="11">
          <cell r="E11">
            <v>9.9169736687639602</v>
          </cell>
        </row>
        <row r="12">
          <cell r="E12">
            <v>8.4790857745831671E-5</v>
          </cell>
        </row>
        <row r="13">
          <cell r="E13">
            <v>2.5233674173128797E-4</v>
          </cell>
        </row>
        <row r="14">
          <cell r="E14">
            <v>2.5579415851553857E-3</v>
          </cell>
        </row>
        <row r="15">
          <cell r="E15">
            <v>6.8783021520926425E-11</v>
          </cell>
        </row>
        <row r="16">
          <cell r="E16">
            <v>3.4692619048748938E-11</v>
          </cell>
        </row>
        <row r="17">
          <cell r="E17">
            <v>3.4090402472177507E-11</v>
          </cell>
        </row>
        <row r="18">
          <cell r="E18">
            <v>1.5093481634416235E-9</v>
          </cell>
        </row>
        <row r="19">
          <cell r="E19">
            <v>1.4431461204892331E-9</v>
          </cell>
        </row>
        <row r="20">
          <cell r="E20">
            <v>6.6202042952391605E-11</v>
          </cell>
        </row>
        <row r="21">
          <cell r="E21">
            <v>0.28914623229534725</v>
          </cell>
        </row>
        <row r="22">
          <cell r="E22">
            <v>1.3296370311871331</v>
          </cell>
        </row>
        <row r="23">
          <cell r="E23">
            <v>6.2163514397111894E-7</v>
          </cell>
        </row>
        <row r="24">
          <cell r="E24">
            <v>2.2148541251203087E-8</v>
          </cell>
        </row>
        <row r="25">
          <cell r="E25">
            <v>4.8983832881176746E-9</v>
          </cell>
        </row>
        <row r="26">
          <cell r="E26">
            <v>8.4817457783881113E-4</v>
          </cell>
        </row>
        <row r="27">
          <cell r="E27">
            <v>6.7469199700222665E-2</v>
          </cell>
        </row>
      </sheetData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1.1257436393353423E-3</v>
          </cell>
        </row>
        <row r="4">
          <cell r="E4">
            <v>1.9859718697932338</v>
          </cell>
        </row>
        <row r="5">
          <cell r="E5">
            <v>2.0790601748930192E-4</v>
          </cell>
        </row>
        <row r="6">
          <cell r="E6">
            <v>1.985622726902277</v>
          </cell>
        </row>
        <row r="7">
          <cell r="E7">
            <v>1.4123687346749504E-4</v>
          </cell>
        </row>
        <row r="8">
          <cell r="E8">
            <v>15.496480467696724</v>
          </cell>
        </row>
        <row r="9">
          <cell r="E9">
            <v>15.443269750677734</v>
          </cell>
        </row>
        <row r="10">
          <cell r="E10">
            <v>5.3210717018973328E-2</v>
          </cell>
        </row>
        <row r="11">
          <cell r="E11">
            <v>2.9750957048445192</v>
          </cell>
        </row>
        <row r="12">
          <cell r="E12">
            <v>2.7963342441352022E-4</v>
          </cell>
        </row>
        <row r="13">
          <cell r="E13">
            <v>4.3660940992675678E-4</v>
          </cell>
        </row>
        <row r="14">
          <cell r="E14">
            <v>3.7212298322550825E-3</v>
          </cell>
        </row>
        <row r="15">
          <cell r="E15">
            <v>2.1916302320875915E-10</v>
          </cell>
        </row>
        <row r="16">
          <cell r="E16">
            <v>7.4523462239851009E-11</v>
          </cell>
        </row>
        <row r="17">
          <cell r="E17">
            <v>1.446395609689082E-10</v>
          </cell>
        </row>
        <row r="18">
          <cell r="E18">
            <v>2.8695777896498485E-9</v>
          </cell>
        </row>
        <row r="19">
          <cell r="E19">
            <v>2.7739449066142375E-9</v>
          </cell>
        </row>
        <row r="20">
          <cell r="E20">
            <v>9.5632883035610656E-11</v>
          </cell>
        </row>
        <row r="21">
          <cell r="E21">
            <v>1.0434812532779194E-2</v>
          </cell>
        </row>
        <row r="22">
          <cell r="E22">
            <v>0.54568069579970557</v>
          </cell>
        </row>
        <row r="23">
          <cell r="E23">
            <v>1.4689421087612479E-6</v>
          </cell>
        </row>
        <row r="24">
          <cell r="E24">
            <v>3.7858039237149263E-8</v>
          </cell>
        </row>
        <row r="25">
          <cell r="E25">
            <v>1.6967692386895422E-8</v>
          </cell>
        </row>
        <row r="26">
          <cell r="E26">
            <v>1.0989304631537915E-3</v>
          </cell>
        </row>
        <row r="27">
          <cell r="E27">
            <v>0.10681680621326249</v>
          </cell>
        </row>
      </sheetData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4.581173522393113E-4</v>
          </cell>
        </row>
        <row r="4">
          <cell r="E4">
            <v>1.5964474311074865</v>
          </cell>
        </row>
        <row r="5">
          <cell r="E5">
            <v>9.7666389775778937E-5</v>
          </cell>
        </row>
        <row r="6">
          <cell r="E6">
            <v>1.5963294441528313</v>
          </cell>
        </row>
        <row r="7">
          <cell r="E7">
            <v>2.0320564879248807E-5</v>
          </cell>
        </row>
        <row r="8">
          <cell r="E8">
            <v>3.4185765418726</v>
          </cell>
        </row>
        <row r="9">
          <cell r="E9">
            <v>3.4055151777986348</v>
          </cell>
        </row>
        <row r="10">
          <cell r="E10">
            <v>1.3061364073964221E-2</v>
          </cell>
        </row>
        <row r="11">
          <cell r="E11">
            <v>0.53789134031003338</v>
          </cell>
        </row>
        <row r="12">
          <cell r="E12">
            <v>5.9954778981823515E-6</v>
          </cell>
        </row>
        <row r="13">
          <cell r="E13">
            <v>9.7736103658016809E-4</v>
          </cell>
        </row>
        <row r="14">
          <cell r="E14">
            <v>2.1737553266591115E-3</v>
          </cell>
        </row>
        <row r="15">
          <cell r="E15">
            <v>2.7447280165311544E-10</v>
          </cell>
        </row>
        <row r="16">
          <cell r="E16">
            <v>1.3032952816250908E-10</v>
          </cell>
        </row>
        <row r="17">
          <cell r="E17">
            <v>1.4414327349060625E-10</v>
          </cell>
        </row>
        <row r="18">
          <cell r="E18">
            <v>5.3255426401488966E-9</v>
          </cell>
        </row>
        <row r="19">
          <cell r="E19">
            <v>5.2510496216691586E-9</v>
          </cell>
        </row>
        <row r="20">
          <cell r="E20">
            <v>7.4493018479738457E-11</v>
          </cell>
        </row>
        <row r="21">
          <cell r="E21">
            <v>9.2589039680171222E-4</v>
          </cell>
        </row>
        <row r="22">
          <cell r="E22">
            <v>0.40289403583460331</v>
          </cell>
        </row>
        <row r="23">
          <cell r="E23">
            <v>1.4872991103539751E-7</v>
          </cell>
        </row>
        <row r="24">
          <cell r="E24">
            <v>1.916520818711307E-9</v>
          </cell>
        </row>
        <row r="25">
          <cell r="E25">
            <v>1.2629685502001521E-8</v>
          </cell>
        </row>
        <row r="26">
          <cell r="E26">
            <v>5.9843978515973604E-4</v>
          </cell>
        </row>
        <row r="27">
          <cell r="E27">
            <v>6.2280155275503235E-2</v>
          </cell>
        </row>
      </sheetData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2.5041739283608648E-4</v>
          </cell>
        </row>
        <row r="4">
          <cell r="E4">
            <v>3.9348159381086781E-2</v>
          </cell>
        </row>
        <row r="5">
          <cell r="E5">
            <v>9.7266301014365859E-5</v>
          </cell>
        </row>
        <row r="6">
          <cell r="E6">
            <v>3.9208818739680545E-2</v>
          </cell>
        </row>
        <row r="7">
          <cell r="E7">
            <v>4.207434039186576E-5</v>
          </cell>
        </row>
        <row r="8">
          <cell r="E8">
            <v>8.2822034410836949</v>
          </cell>
        </row>
        <row r="9">
          <cell r="E9">
            <v>8.2713137399989698</v>
          </cell>
        </row>
        <row r="10">
          <cell r="E10">
            <v>1.0889701084735312E-2</v>
          </cell>
        </row>
        <row r="11">
          <cell r="E11">
            <v>0.56403611826047129</v>
          </cell>
        </row>
        <row r="12">
          <cell r="E12">
            <v>1.1558659449902957E-5</v>
          </cell>
        </row>
        <row r="13">
          <cell r="E13">
            <v>6.4931912700875915E-5</v>
          </cell>
        </row>
        <row r="14">
          <cell r="E14">
            <v>6.9200449750275467E-4</v>
          </cell>
        </row>
        <row r="15">
          <cell r="E15">
            <v>3.5454320619262287E-11</v>
          </cell>
        </row>
        <row r="16">
          <cell r="E16">
            <v>9.6935522442158585E-12</v>
          </cell>
        </row>
        <row r="17">
          <cell r="E17">
            <v>2.5760768375046418E-11</v>
          </cell>
        </row>
        <row r="18">
          <cell r="E18">
            <v>4.6384572584822904E-10</v>
          </cell>
        </row>
        <row r="19">
          <cell r="E19">
            <v>4.4974857654855111E-10</v>
          </cell>
        </row>
        <row r="20">
          <cell r="E20">
            <v>1.4097149299677819E-11</v>
          </cell>
        </row>
        <row r="21">
          <cell r="E21">
            <v>2.4488377665094914E-3</v>
          </cell>
        </row>
        <row r="22">
          <cell r="E22">
            <v>0.69232446360993072</v>
          </cell>
        </row>
        <row r="23">
          <cell r="E23">
            <v>8.3785881489488546E-8</v>
          </cell>
        </row>
        <row r="24">
          <cell r="E24">
            <v>4.5120684684167513E-10</v>
          </cell>
        </row>
        <row r="25">
          <cell r="E25">
            <v>3.8853686413120416E-9</v>
          </cell>
        </row>
        <row r="26">
          <cell r="E26">
            <v>2.2913507820995747E-4</v>
          </cell>
        </row>
        <row r="27">
          <cell r="E27">
            <v>6.9642812969866186E-3</v>
          </cell>
        </row>
      </sheetData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3.5067128249634013E-3</v>
          </cell>
        </row>
        <row r="4">
          <cell r="E4">
            <v>2.5105789006517405</v>
          </cell>
        </row>
        <row r="5">
          <cell r="E5">
            <v>8.2783171566492664E-4</v>
          </cell>
        </row>
        <row r="6">
          <cell r="E6">
            <v>2.5091359243146778</v>
          </cell>
        </row>
        <row r="7">
          <cell r="E7">
            <v>6.1514462139802654E-4</v>
          </cell>
        </row>
        <row r="8">
          <cell r="E8">
            <v>38.434421723779771</v>
          </cell>
        </row>
        <row r="9">
          <cell r="E9">
            <v>38.202565861350806</v>
          </cell>
        </row>
        <row r="10">
          <cell r="E10">
            <v>0.23185586242903328</v>
          </cell>
        </row>
        <row r="11">
          <cell r="E11">
            <v>12.279330499081084</v>
          </cell>
        </row>
        <row r="12">
          <cell r="E12">
            <v>6.867327820465998E-4</v>
          </cell>
        </row>
        <row r="13">
          <cell r="E13">
            <v>8.7970378998701636E-4</v>
          </cell>
        </row>
        <row r="14">
          <cell r="E14">
            <v>8.5568563133932973E-3</v>
          </cell>
        </row>
        <row r="15">
          <cell r="E15">
            <v>1.5142892912042382E-9</v>
          </cell>
        </row>
        <row r="16">
          <cell r="E16">
            <v>1.2928983416186932E-9</v>
          </cell>
        </row>
        <row r="17">
          <cell r="E17">
            <v>2.2139094958554549E-10</v>
          </cell>
        </row>
        <row r="18">
          <cell r="E18">
            <v>1.2011148544520457E-8</v>
          </cell>
        </row>
        <row r="19">
          <cell r="E19">
            <v>1.157177340907836E-8</v>
          </cell>
        </row>
        <row r="20">
          <cell r="E20">
            <v>4.393751354421018E-10</v>
          </cell>
        </row>
        <row r="21">
          <cell r="E21">
            <v>4.485553755533226E-2</v>
          </cell>
        </row>
        <row r="22">
          <cell r="E22">
            <v>2.2581710232255126</v>
          </cell>
        </row>
        <row r="23">
          <cell r="E23">
            <v>6.1294517155744296E-6</v>
          </cell>
        </row>
        <row r="24">
          <cell r="E24">
            <v>1.6552927786910482E-7</v>
          </cell>
        </row>
        <row r="25">
          <cell r="E25">
            <v>3.8448215540653368E-8</v>
          </cell>
        </row>
        <row r="26">
          <cell r="E26">
            <v>3.2059852139465295E-3</v>
          </cell>
        </row>
        <row r="27">
          <cell r="E27">
            <v>0.36266370611535315</v>
          </cell>
        </row>
      </sheetData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1.9666266067471391E-2</v>
          </cell>
        </row>
        <row r="4">
          <cell r="E4">
            <v>2.159820907530412</v>
          </cell>
        </row>
        <row r="5">
          <cell r="E5">
            <v>1.3241142748413931E-2</v>
          </cell>
        </row>
        <row r="6">
          <cell r="E6">
            <v>2.1439798249253994</v>
          </cell>
        </row>
        <row r="7">
          <cell r="E7">
            <v>2.5999398565985407E-3</v>
          </cell>
        </row>
        <row r="8">
          <cell r="E8">
            <v>68.381948841213955</v>
          </cell>
        </row>
        <row r="9">
          <cell r="E9">
            <v>67.133609193078954</v>
          </cell>
        </row>
        <row r="10">
          <cell r="E10">
            <v>1.2483396481350681</v>
          </cell>
        </row>
        <row r="11">
          <cell r="E11">
            <v>26.275155143068808</v>
          </cell>
        </row>
        <row r="12">
          <cell r="E12">
            <v>1.9709617305072539E-3</v>
          </cell>
        </row>
        <row r="13">
          <cell r="E13">
            <v>8.3834083435710104E-3</v>
          </cell>
        </row>
        <row r="14">
          <cell r="E14">
            <v>5.5772230163880707E-2</v>
          </cell>
        </row>
        <row r="15">
          <cell r="E15">
            <v>2.9893881305278722E-9</v>
          </cell>
        </row>
        <row r="16">
          <cell r="E16">
            <v>2.4444598515963122E-9</v>
          </cell>
        </row>
        <row r="17">
          <cell r="E17">
            <v>5.4492827893155923E-10</v>
          </cell>
        </row>
        <row r="18">
          <cell r="E18">
            <v>1.0216450746670304E-7</v>
          </cell>
        </row>
        <row r="19">
          <cell r="E19">
            <v>1.0024254051620969E-7</v>
          </cell>
        </row>
        <row r="20">
          <cell r="E20">
            <v>1.9219669504934385E-9</v>
          </cell>
        </row>
        <row r="21">
          <cell r="E21">
            <v>0.12115057820908416</v>
          </cell>
        </row>
        <row r="22">
          <cell r="E22">
            <v>29.625631790119389</v>
          </cell>
        </row>
        <row r="23">
          <cell r="E23">
            <v>5.8660218915084422E-5</v>
          </cell>
        </row>
        <row r="24">
          <cell r="E24">
            <v>3.4916674315984016E-8</v>
          </cell>
        </row>
        <row r="25">
          <cell r="E25">
            <v>2.4768572277508995E-7</v>
          </cell>
        </row>
        <row r="26">
          <cell r="E26">
            <v>1.1027718220120969E-2</v>
          </cell>
        </row>
        <row r="27">
          <cell r="E27">
            <v>1.7816903600181819</v>
          </cell>
        </row>
      </sheetData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1.7180508146602259E-4</v>
          </cell>
        </row>
        <row r="4">
          <cell r="E4">
            <v>0.61082931637914728</v>
          </cell>
        </row>
        <row r="5">
          <cell r="E5">
            <v>0.55651430336177887</v>
          </cell>
        </row>
        <row r="6">
          <cell r="E6">
            <v>5.4293180711498946E-2</v>
          </cell>
        </row>
        <row r="7">
          <cell r="E7">
            <v>2.183230586964943E-5</v>
          </cell>
        </row>
        <row r="8">
          <cell r="E8">
            <v>2.5598852300854364</v>
          </cell>
        </row>
        <row r="9">
          <cell r="E9">
            <v>2.5447889188117006</v>
          </cell>
        </row>
        <row r="10">
          <cell r="E10">
            <v>1.5096311273735941E-2</v>
          </cell>
        </row>
        <row r="11">
          <cell r="E11">
            <v>0.34649128641935462</v>
          </cell>
        </row>
        <row r="12">
          <cell r="E12">
            <v>1.5932191378096658E-5</v>
          </cell>
        </row>
        <row r="13">
          <cell r="E13">
            <v>1.7875681257467971E-3</v>
          </cell>
        </row>
        <row r="14">
          <cell r="E14">
            <v>4.8649954401374366E-4</v>
          </cell>
        </row>
        <row r="15">
          <cell r="E15">
            <v>3.2240379634019343E-11</v>
          </cell>
        </row>
        <row r="16">
          <cell r="E16">
            <v>2.7401815931797577E-11</v>
          </cell>
        </row>
        <row r="17">
          <cell r="E17">
            <v>4.8385637022217886E-12</v>
          </cell>
        </row>
        <row r="18">
          <cell r="E18">
            <v>1.4715338750196004E-9</v>
          </cell>
        </row>
        <row r="19">
          <cell r="E19">
            <v>4.494959741755842E-10</v>
          </cell>
        </row>
        <row r="20">
          <cell r="E20">
            <v>1.0220379008440175E-9</v>
          </cell>
        </row>
        <row r="21">
          <cell r="E21">
            <v>1.2682243528615881E-3</v>
          </cell>
        </row>
        <row r="22">
          <cell r="E22">
            <v>0.59734442454656311</v>
          </cell>
        </row>
        <row r="23">
          <cell r="E23">
            <v>6.4322537503390001E-8</v>
          </cell>
        </row>
        <row r="24">
          <cell r="E24">
            <v>3.5396731690011054E-10</v>
          </cell>
        </row>
        <row r="25">
          <cell r="E25">
            <v>2.2379424672438651E-9</v>
          </cell>
        </row>
        <row r="26">
          <cell r="E26">
            <v>3.6921199853446956E-4</v>
          </cell>
        </row>
        <row r="27">
          <cell r="E27">
            <v>3.1705601711219714E-3</v>
          </cell>
        </row>
      </sheetData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setup"/>
      <sheetName val="Inventory"/>
      <sheetName val="Impacts"/>
      <sheetName val="Process flow contributions"/>
      <sheetName val="Process impact contributions"/>
      <sheetName val="Flow impact contributions"/>
    </sheetNames>
    <sheetDataSet>
      <sheetData sheetId="0"/>
      <sheetData sheetId="1"/>
      <sheetData sheetId="2">
        <row r="3">
          <cell r="E3">
            <v>0.10256459422259295</v>
          </cell>
        </row>
        <row r="4">
          <cell r="E4">
            <v>15.649345602934506</v>
          </cell>
        </row>
        <row r="5">
          <cell r="E5">
            <v>2.296250143372287E-2</v>
          </cell>
        </row>
        <row r="6">
          <cell r="E6">
            <v>15.584381897372543</v>
          </cell>
        </row>
        <row r="7">
          <cell r="E7">
            <v>4.2001204128241668E-2</v>
          </cell>
        </row>
        <row r="8">
          <cell r="E8">
            <v>55.898317834545473</v>
          </cell>
        </row>
        <row r="9">
          <cell r="E9">
            <v>51.197682030164493</v>
          </cell>
        </row>
        <row r="10">
          <cell r="E10">
            <v>4.7006358043810437</v>
          </cell>
        </row>
        <row r="11">
          <cell r="E11">
            <v>147.06269699914318</v>
          </cell>
        </row>
        <row r="12">
          <cell r="E12">
            <v>5.1086783277864579E-3</v>
          </cell>
        </row>
        <row r="13">
          <cell r="E13">
            <v>1.6550218388261928E-2</v>
          </cell>
        </row>
        <row r="14">
          <cell r="E14">
            <v>0.17195032103977675</v>
          </cell>
        </row>
        <row r="15">
          <cell r="E15">
            <v>1.9198158600519762E-8</v>
          </cell>
        </row>
        <row r="16">
          <cell r="E16">
            <v>1.2081824506844722E-8</v>
          </cell>
        </row>
        <row r="17">
          <cell r="E17">
            <v>7.1163340936750309E-9</v>
          </cell>
        </row>
        <row r="18">
          <cell r="E18">
            <v>3.1377945708623858E-7</v>
          </cell>
        </row>
        <row r="19">
          <cell r="E19">
            <v>3.0813457813131947E-7</v>
          </cell>
        </row>
        <row r="20">
          <cell r="E20">
            <v>5.6448789549192999E-9</v>
          </cell>
        </row>
        <row r="21">
          <cell r="E21">
            <v>0.36398485859563218</v>
          </cell>
        </row>
        <row r="22">
          <cell r="E22">
            <v>28.259447480174323</v>
          </cell>
        </row>
        <row r="23">
          <cell r="E23">
            <v>6.3368787334779899E-5</v>
          </cell>
        </row>
        <row r="24">
          <cell r="E24">
            <v>4.0538090296951861E-7</v>
          </cell>
        </row>
        <row r="25">
          <cell r="E25">
            <v>1.2290758391382039E-6</v>
          </cell>
        </row>
        <row r="26">
          <cell r="E26">
            <v>5.3792338378019784E-2</v>
          </cell>
        </row>
        <row r="27">
          <cell r="E27">
            <v>4.3160200602750329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EA062-7716-A049-A052-0929D9317230}">
  <dimension ref="A1:AP147"/>
  <sheetViews>
    <sheetView topLeftCell="A43" zoomScale="79" zoomScaleNormal="79" workbookViewId="0">
      <selection activeCell="J132" sqref="J132"/>
    </sheetView>
  </sheetViews>
  <sheetFormatPr defaultColWidth="10.875" defaultRowHeight="15.75" x14ac:dyDescent="0.25"/>
  <cols>
    <col min="1" max="1" width="19.5" style="1" customWidth="1"/>
    <col min="2" max="2" width="14.5" style="1" customWidth="1"/>
    <col min="3" max="3" width="14.125" style="1" customWidth="1"/>
    <col min="4" max="4" width="15.125" style="1" customWidth="1"/>
    <col min="5" max="5" width="10.875" style="1" customWidth="1"/>
    <col min="6" max="6" width="15" style="1" customWidth="1"/>
    <col min="7" max="7" width="15.375" style="1" customWidth="1"/>
    <col min="8" max="8" width="10.875" style="1"/>
    <col min="9" max="9" width="12.375" style="1" customWidth="1"/>
    <col min="10" max="10" width="18.875" style="1" customWidth="1"/>
    <col min="11" max="15" width="10.875" style="1"/>
    <col min="16" max="16" width="10.875" style="1" customWidth="1"/>
    <col min="17" max="30" width="10.875" style="1"/>
    <col min="31" max="31" width="11.625" style="1" bestFit="1" customWidth="1"/>
    <col min="32" max="16384" width="10.875" style="1"/>
  </cols>
  <sheetData>
    <row r="1" spans="1:42" ht="20.25" thickBot="1" x14ac:dyDescent="0.35">
      <c r="A1" s="2" t="s">
        <v>218</v>
      </c>
      <c r="B1" s="2"/>
      <c r="C1" s="2"/>
      <c r="D1" s="2"/>
      <c r="E1" s="2"/>
      <c r="F1" s="2"/>
      <c r="G1" s="2"/>
      <c r="H1" s="2"/>
    </row>
    <row r="2" spans="1:42" ht="16.5" thickTop="1" x14ac:dyDescent="0.25">
      <c r="A2" s="3" t="s">
        <v>0</v>
      </c>
    </row>
    <row r="3" spans="1:42" x14ac:dyDescent="0.25">
      <c r="A3" s="3"/>
    </row>
    <row r="5" spans="1:42" ht="18" thickBot="1" x14ac:dyDescent="0.35">
      <c r="A5" s="4" t="s">
        <v>1</v>
      </c>
      <c r="B5" s="4"/>
      <c r="C5" s="4"/>
      <c r="D5" s="4"/>
      <c r="J5" s="7" t="s">
        <v>2</v>
      </c>
      <c r="L5" s="1" t="s">
        <v>3</v>
      </c>
      <c r="P5" s="7" t="s">
        <v>4</v>
      </c>
      <c r="U5" s="7" t="s">
        <v>2</v>
      </c>
      <c r="W5" s="7" t="s">
        <v>4</v>
      </c>
      <c r="AA5" s="7" t="s">
        <v>5</v>
      </c>
      <c r="AE5" s="7" t="s">
        <v>5</v>
      </c>
      <c r="AG5" s="7" t="s">
        <v>5</v>
      </c>
    </row>
    <row r="6" spans="1:42" ht="16.5" thickTop="1" x14ac:dyDescent="0.25">
      <c r="J6" s="7">
        <f>'Input data from lab'!B18/'Input data from lab'!B17*G11</f>
        <v>2</v>
      </c>
      <c r="L6" s="1">
        <f>G11+J6-M13</f>
        <v>1.0850000000000026E-2</v>
      </c>
      <c r="P6" s="7">
        <f>M13-R13-R18</f>
        <v>0.2579800000000001</v>
      </c>
      <c r="U6" s="7">
        <f>'Input data from lab'!B35/'Input data from lab'!B34*R18</f>
        <v>0.49766000000000005</v>
      </c>
      <c r="W6" s="7">
        <f>U6+R18-X22-X18</f>
        <v>2.3679999999999979E-2</v>
      </c>
      <c r="AA6" s="7">
        <f>'Input data from lab'!B62/'Input data from lab'!B61*(R13+X22)</f>
        <v>3.7079490364481673</v>
      </c>
      <c r="AE6" s="9">
        <f>0.64/0.36*X18</f>
        <v>0.62865777777777787</v>
      </c>
      <c r="AG6" s="7">
        <f>'Input data from lab'!B71/'Input data from lab'!B70*AD13</f>
        <v>2.8601335050360333</v>
      </c>
      <c r="AL6" s="1" t="s">
        <v>6</v>
      </c>
      <c r="AN6" s="7" t="s">
        <v>5</v>
      </c>
    </row>
    <row r="7" spans="1:42" x14ac:dyDescent="0.25">
      <c r="AL7" s="1">
        <f>'Input data from lab'!B109/'Input data from lab'!B108*'Direct Recycling LFP_CAM'!AJ13</f>
        <v>2.2440799859569479E-2</v>
      </c>
      <c r="AN7" s="1">
        <f>'Input data from lab'!B110/'Input data from lab'!B108*'Direct Recycling LFP_CAM'!AJ13</f>
        <v>9.9982833111682115E-2</v>
      </c>
    </row>
    <row r="8" spans="1:42" ht="15.95" customHeight="1" x14ac:dyDescent="0.25"/>
    <row r="9" spans="1:42" ht="15.95" customHeight="1" x14ac:dyDescent="0.25"/>
    <row r="10" spans="1:42" x14ac:dyDescent="0.25">
      <c r="G10" s="6" t="s">
        <v>7</v>
      </c>
    </row>
    <row r="11" spans="1:42" x14ac:dyDescent="0.25">
      <c r="G11" s="6">
        <f>'Input data from lab'!C8/'Input data from lab'!B5*B16</f>
        <v>1.2714799999999999</v>
      </c>
    </row>
    <row r="12" spans="1:42" x14ac:dyDescent="0.25">
      <c r="M12" s="7" t="s">
        <v>7</v>
      </c>
      <c r="R12" s="7" t="s">
        <v>8</v>
      </c>
      <c r="AD12" s="7" t="s">
        <v>8</v>
      </c>
      <c r="AJ12" s="7" t="s">
        <v>9</v>
      </c>
      <c r="AP12" s="1" t="s">
        <v>10</v>
      </c>
    </row>
    <row r="13" spans="1:42" x14ac:dyDescent="0.25">
      <c r="D13" s="42"/>
      <c r="E13" s="42"/>
      <c r="F13"/>
      <c r="M13" s="7">
        <f>'Input data from lab'!C20/'Input data from lab'!B17*G11</f>
        <v>3.2606299999999999</v>
      </c>
      <c r="R13" s="7">
        <f>'Input data from lab'!C28/'Input data from lab'!B26*M13</f>
        <v>2.6602899999999998</v>
      </c>
      <c r="AD13" s="7">
        <f>'Input data from lab'!C63/'Input data from lab'!B61*(R13+X22)</f>
        <v>1.4450824534194557</v>
      </c>
      <c r="AJ13" s="7">
        <f>'Input data from lab'!C73/'Input data from lab'!B70*AD13</f>
        <v>0.96978283321907621</v>
      </c>
      <c r="AP13" s="1">
        <f>'Input data from lab'!C113/'Input data from lab'!B108*'Direct Recycling LFP_CAM'!AJ13</f>
        <v>0.94085721808620304</v>
      </c>
    </row>
    <row r="14" spans="1:42" x14ac:dyDescent="0.25">
      <c r="D14" s="42"/>
      <c r="E14" s="42"/>
    </row>
    <row r="15" spans="1:42" x14ac:dyDescent="0.25">
      <c r="B15" s="6" t="s">
        <v>11</v>
      </c>
      <c r="D15" s="42"/>
      <c r="E15" s="42"/>
    </row>
    <row r="16" spans="1:42" x14ac:dyDescent="0.25">
      <c r="B16" s="9">
        <f>'Input data from lab'!B5</f>
        <v>3.2375400000000001</v>
      </c>
      <c r="D16" s="42"/>
      <c r="E16" s="42"/>
    </row>
    <row r="17" spans="2:40" x14ac:dyDescent="0.25">
      <c r="R17" s="7" t="s">
        <v>12</v>
      </c>
      <c r="X17" s="7" t="s">
        <v>12</v>
      </c>
      <c r="AJ17" s="1" t="s">
        <v>13</v>
      </c>
    </row>
    <row r="18" spans="2:40" x14ac:dyDescent="0.25">
      <c r="B18" s="1" t="s">
        <v>14</v>
      </c>
      <c r="R18" s="7">
        <f>'Input data from lab'!C27/'Input data from lab'!B26*M13</f>
        <v>0.34236</v>
      </c>
      <c r="X18" s="7">
        <f>'Input data from lab'!C36/'Input data from lab'!B34*R18</f>
        <v>0.35362000000000005</v>
      </c>
      <c r="AJ18" s="7">
        <f>'Input data from lab'!C80/'Input data from lab'!B77*X18</f>
        <v>0.21432000000000001</v>
      </c>
      <c r="AM18" s="1" t="s">
        <v>15</v>
      </c>
    </row>
    <row r="19" spans="2:40" x14ac:dyDescent="0.25">
      <c r="B19" s="1" t="s">
        <v>16</v>
      </c>
      <c r="AM19" s="1">
        <f>('Input data from lab'!C111+'Input data from lab'!C112)/'Input data from lab'!B108*'Direct Recycling LFP_CAM'!AJ13</f>
        <v>5.1366414992442613E-2</v>
      </c>
    </row>
    <row r="20" spans="2:40" x14ac:dyDescent="0.25">
      <c r="B20" s="1" t="s">
        <v>17</v>
      </c>
      <c r="G20" s="7" t="s">
        <v>18</v>
      </c>
      <c r="M20" s="7" t="s">
        <v>18</v>
      </c>
    </row>
    <row r="21" spans="2:40" x14ac:dyDescent="0.25">
      <c r="G21" s="7">
        <f>'Input data from lab'!C9/'Input data from lab'!B5*B16</f>
        <v>0.87926000000000004</v>
      </c>
      <c r="M21" s="7">
        <f>G21+J28</f>
        <v>2.8792599999999999</v>
      </c>
      <c r="X21" s="7" t="s">
        <v>8</v>
      </c>
    </row>
    <row r="22" spans="2:40" x14ac:dyDescent="0.25">
      <c r="X22" s="7">
        <f>'Input data from lab'!C37/'Input data from lab'!B34*R18</f>
        <v>0.46271999999999996</v>
      </c>
    </row>
    <row r="23" spans="2:40" x14ac:dyDescent="0.25">
      <c r="R23" s="7" t="s">
        <v>19</v>
      </c>
    </row>
    <row r="24" spans="2:40" x14ac:dyDescent="0.25">
      <c r="R24" s="7">
        <f>'Input data from lab'!C55/'Input data from lab'!B54*M21</f>
        <v>0.49236812410331232</v>
      </c>
    </row>
    <row r="26" spans="2:40" x14ac:dyDescent="0.25">
      <c r="AN26" s="1">
        <f>11.9/AP13</f>
        <v>12.648040288414624</v>
      </c>
    </row>
    <row r="27" spans="2:40" ht="31.5" x14ac:dyDescent="0.25">
      <c r="C27" s="8" t="s">
        <v>20</v>
      </c>
      <c r="D27" s="8" t="s">
        <v>21</v>
      </c>
      <c r="F27" s="7" t="s">
        <v>22</v>
      </c>
      <c r="J27" s="7" t="s">
        <v>2</v>
      </c>
    </row>
    <row r="28" spans="2:40" x14ac:dyDescent="0.25">
      <c r="C28" s="9">
        <f>B16-SUM(G11,G21,D28,F28)</f>
        <v>9.7140000000000004E-2</v>
      </c>
      <c r="D28" s="7">
        <f>'Input data from lab'!C11/'Input data from lab'!B5*B16</f>
        <v>0.77034000000000002</v>
      </c>
      <c r="F28" s="7">
        <f>'Input data from lab'!C10/'Input data from lab'!B5*B16</f>
        <v>0.21932000000000001</v>
      </c>
      <c r="J28" s="7">
        <f>'Input data from lab'!B45/'Input data from lab'!B44*G21</f>
        <v>2</v>
      </c>
      <c r="R28" s="7" t="s">
        <v>8</v>
      </c>
      <c r="AC28" s="7" t="s">
        <v>4</v>
      </c>
      <c r="AG28" s="7" t="s">
        <v>4</v>
      </c>
    </row>
    <row r="29" spans="2:40" x14ac:dyDescent="0.25">
      <c r="R29" s="7">
        <f>'Input data from lab'!C56/'Input data from lab'!B54*M21</f>
        <v>1.9538435172146569</v>
      </c>
      <c r="AC29" s="7">
        <f>R13+X22-AD13</f>
        <v>1.6779275465805441</v>
      </c>
      <c r="AG29" s="7">
        <f>AD13-AJ13</f>
        <v>0.47529962020037952</v>
      </c>
    </row>
    <row r="30" spans="2:40" x14ac:dyDescent="0.25">
      <c r="P30" s="7"/>
    </row>
    <row r="31" spans="2:40" x14ac:dyDescent="0.25">
      <c r="C31" s="24"/>
      <c r="P31" s="7"/>
    </row>
    <row r="32" spans="2:40" x14ac:dyDescent="0.25">
      <c r="O32" s="7" t="s">
        <v>4</v>
      </c>
      <c r="AE32" s="7" t="s">
        <v>23</v>
      </c>
    </row>
    <row r="33" spans="1:36" x14ac:dyDescent="0.25">
      <c r="O33" s="7">
        <f>M21-R24-R29</f>
        <v>0.43304835868203062</v>
      </c>
      <c r="AE33" s="7">
        <f>X18-AJ18</f>
        <v>0.13930000000000003</v>
      </c>
    </row>
    <row r="35" spans="1:36" x14ac:dyDescent="0.25">
      <c r="R35" s="10" t="s">
        <v>4</v>
      </c>
      <c r="U35" s="7" t="s">
        <v>5</v>
      </c>
      <c r="W35" s="7" t="s">
        <v>5</v>
      </c>
      <c r="Y35" s="7" t="s">
        <v>4</v>
      </c>
    </row>
    <row r="36" spans="1:36" x14ac:dyDescent="0.25">
      <c r="A36" s="1" t="s">
        <v>24</v>
      </c>
      <c r="B36" s="23">
        <f>(B16-(G11-AJ18))/B16</f>
        <v>0.67346812703472403</v>
      </c>
      <c r="R36" s="10">
        <f>R24-AJ37</f>
        <v>0.18874379445039813</v>
      </c>
      <c r="U36" s="7">
        <f>'Input data from lab'!B93/'Input data from lab'!B92*R24</f>
        <v>1.1658916958435583</v>
      </c>
      <c r="W36" s="7">
        <f>'Input data from lab'!B85/'Input data from lab'!B84*R29</f>
        <v>3.427319554160805</v>
      </c>
      <c r="Y36" s="7">
        <f>R29-AJ41</f>
        <v>1.1846464708818694</v>
      </c>
      <c r="AJ36" s="1" t="s">
        <v>25</v>
      </c>
    </row>
    <row r="37" spans="1:36" x14ac:dyDescent="0.25">
      <c r="AJ37" s="7">
        <f>'Input data from lab'!C95/'Input data from lab'!B92*R24</f>
        <v>0.30362432965291419</v>
      </c>
    </row>
    <row r="38" spans="1:36" ht="18" thickBot="1" x14ac:dyDescent="0.35">
      <c r="A38" s="4" t="s">
        <v>26</v>
      </c>
      <c r="B38" s="4"/>
    </row>
    <row r="39" spans="1:36" ht="16.5" thickTop="1" x14ac:dyDescent="0.25">
      <c r="A39" s="1" t="s">
        <v>27</v>
      </c>
    </row>
    <row r="40" spans="1:36" x14ac:dyDescent="0.25">
      <c r="A40" s="1">
        <f>B16</f>
        <v>3.2375400000000001</v>
      </c>
      <c r="B40" s="1" t="s">
        <v>28</v>
      </c>
      <c r="AJ40" s="7" t="s">
        <v>9</v>
      </c>
    </row>
    <row r="41" spans="1:36" x14ac:dyDescent="0.25">
      <c r="AJ41" s="7">
        <f>'Input data from lab'!C87/'Input data from lab'!B84*R29</f>
        <v>0.76919704633278752</v>
      </c>
    </row>
    <row r="42" spans="1:36" ht="18" thickBot="1" x14ac:dyDescent="0.35">
      <c r="A42" s="4" t="s">
        <v>29</v>
      </c>
      <c r="B42" s="4"/>
    </row>
    <row r="43" spans="1:36" ht="16.5" thickTop="1" x14ac:dyDescent="0.25"/>
    <row r="44" spans="1:36" x14ac:dyDescent="0.25">
      <c r="A44" s="11" t="s">
        <v>30</v>
      </c>
      <c r="B44" s="11" t="s">
        <v>31</v>
      </c>
      <c r="C44" s="11" t="s">
        <v>32</v>
      </c>
      <c r="D44" s="11"/>
      <c r="E44" s="11" t="s">
        <v>33</v>
      </c>
      <c r="F44" s="11"/>
      <c r="G44" s="11"/>
      <c r="H44" s="11"/>
      <c r="I44" s="11"/>
      <c r="J44" s="11"/>
    </row>
    <row r="45" spans="1:36" x14ac:dyDescent="0.25">
      <c r="A45" s="3" t="s">
        <v>34</v>
      </c>
      <c r="B45" s="3"/>
      <c r="C45" s="3"/>
      <c r="D45" s="3"/>
      <c r="E45" s="3"/>
    </row>
    <row r="46" spans="1:36" x14ac:dyDescent="0.25">
      <c r="A46" s="11" t="s">
        <v>6</v>
      </c>
      <c r="B46" s="11">
        <f>AL7</f>
        <v>2.2440799859569479E-2</v>
      </c>
      <c r="C46" s="11" t="s">
        <v>35</v>
      </c>
      <c r="D46" s="11"/>
      <c r="E46" s="11"/>
      <c r="F46" s="11"/>
      <c r="G46" s="11"/>
      <c r="H46" s="11"/>
      <c r="I46" s="11"/>
      <c r="J46" s="11"/>
      <c r="K46" s="36">
        <f>B46/$AP$13</f>
        <v>2.3851440397317982E-2</v>
      </c>
    </row>
    <row r="47" spans="1:36" x14ac:dyDescent="0.25">
      <c r="A47" s="11" t="s">
        <v>36</v>
      </c>
      <c r="B47" s="11">
        <f>J6+U6</f>
        <v>2.4976600000000002</v>
      </c>
      <c r="C47" s="11" t="s">
        <v>37</v>
      </c>
      <c r="D47" s="11"/>
      <c r="E47" s="11"/>
      <c r="F47" s="11"/>
      <c r="G47" s="11"/>
      <c r="H47" s="11"/>
      <c r="I47" s="11"/>
      <c r="J47" s="11"/>
      <c r="K47" s="36">
        <f t="shared" ref="K47:K58" si="0">B47/$AP$13</f>
        <v>2.654664227458964</v>
      </c>
    </row>
    <row r="48" spans="1:36" x14ac:dyDescent="0.25">
      <c r="A48" s="14" t="s">
        <v>38</v>
      </c>
      <c r="B48" s="14"/>
      <c r="C48" s="14"/>
      <c r="D48" s="14"/>
      <c r="E48" s="14"/>
      <c r="K48" s="36">
        <f t="shared" si="0"/>
        <v>0</v>
      </c>
    </row>
    <row r="49" spans="1:12" x14ac:dyDescent="0.25">
      <c r="A49" s="11" t="s">
        <v>5</v>
      </c>
      <c r="B49" s="12">
        <f>AA6+AG6+AN7</f>
        <v>6.6680653745958827</v>
      </c>
      <c r="C49" s="11" t="s">
        <v>39</v>
      </c>
      <c r="D49" s="11"/>
      <c r="E49" s="11"/>
      <c r="F49" s="11"/>
      <c r="G49" s="11"/>
      <c r="H49" s="11"/>
      <c r="I49" s="11"/>
      <c r="J49" s="11"/>
      <c r="K49" s="36">
        <f t="shared" si="0"/>
        <v>7.0872234877034685</v>
      </c>
    </row>
    <row r="50" spans="1:12" x14ac:dyDescent="0.25">
      <c r="A50" s="14" t="s">
        <v>40</v>
      </c>
      <c r="B50" s="14"/>
      <c r="C50" s="14"/>
      <c r="D50" s="14"/>
      <c r="E50" s="14"/>
      <c r="K50" s="36">
        <f t="shared" si="0"/>
        <v>0</v>
      </c>
    </row>
    <row r="51" spans="1:12" x14ac:dyDescent="0.25">
      <c r="A51" s="11" t="s">
        <v>41</v>
      </c>
      <c r="B51" s="12">
        <f>C28</f>
        <v>9.7140000000000004E-2</v>
      </c>
      <c r="C51" s="11" t="s">
        <v>42</v>
      </c>
      <c r="D51" s="11"/>
      <c r="E51" s="11"/>
      <c r="F51" s="11"/>
      <c r="G51" s="11"/>
      <c r="H51" s="11"/>
      <c r="I51" s="11"/>
      <c r="J51" s="11"/>
      <c r="K51" s="36">
        <f t="shared" si="0"/>
        <v>0.10324627173248711</v>
      </c>
    </row>
    <row r="52" spans="1:12" x14ac:dyDescent="0.25">
      <c r="A52" s="11" t="s">
        <v>43</v>
      </c>
      <c r="B52" s="11">
        <f>F28</f>
        <v>0.21932000000000001</v>
      </c>
      <c r="C52" s="11" t="s">
        <v>44</v>
      </c>
      <c r="D52" s="11"/>
      <c r="E52" s="11"/>
      <c r="F52" s="11"/>
      <c r="G52" s="11"/>
      <c r="H52" s="11"/>
      <c r="I52" s="11"/>
      <c r="J52" s="11"/>
      <c r="K52" s="36">
        <f t="shared" si="0"/>
        <v>0.23310657109706684</v>
      </c>
    </row>
    <row r="53" spans="1:12" x14ac:dyDescent="0.25">
      <c r="A53" s="11" t="s">
        <v>45</v>
      </c>
      <c r="B53" s="11">
        <f>D28</f>
        <v>0.77034000000000002</v>
      </c>
      <c r="C53" s="11" t="s">
        <v>46</v>
      </c>
      <c r="D53" s="11"/>
      <c r="E53" s="11"/>
      <c r="F53" s="11"/>
      <c r="G53" s="11"/>
      <c r="H53" s="11"/>
      <c r="I53" s="11"/>
      <c r="J53" s="11"/>
      <c r="K53" s="36">
        <f t="shared" si="0"/>
        <v>0.81876397947708579</v>
      </c>
    </row>
    <row r="54" spans="1:12" x14ac:dyDescent="0.25">
      <c r="A54" s="11" t="s">
        <v>47</v>
      </c>
      <c r="B54" s="11">
        <f>(R18/(M13-P6))*G11</f>
        <v>0.14497323790651589</v>
      </c>
      <c r="C54" s="11" t="s">
        <v>46</v>
      </c>
      <c r="D54" s="11"/>
      <c r="E54" s="11"/>
      <c r="F54" s="11"/>
      <c r="G54" s="11"/>
      <c r="H54" s="11"/>
      <c r="I54" s="11"/>
      <c r="J54" s="11"/>
      <c r="K54" s="36">
        <f t="shared" si="0"/>
        <v>0.15408633225071691</v>
      </c>
    </row>
    <row r="55" spans="1:12" x14ac:dyDescent="0.25">
      <c r="A55" s="11" t="s">
        <v>48</v>
      </c>
      <c r="B55" s="11">
        <f>(R24/(M21-O33))*G21</f>
        <v>0.17697552799063213</v>
      </c>
      <c r="C55" s="11" t="s">
        <v>46</v>
      </c>
      <c r="D55" s="11"/>
      <c r="E55" s="11"/>
      <c r="F55" s="11"/>
      <c r="G55" s="11"/>
      <c r="H55" s="11"/>
      <c r="I55" s="11"/>
      <c r="J55" s="11"/>
      <c r="K55" s="36">
        <f t="shared" si="0"/>
        <v>0.18810030320075335</v>
      </c>
    </row>
    <row r="56" spans="1:12" x14ac:dyDescent="0.25">
      <c r="A56" s="11" t="s">
        <v>49</v>
      </c>
      <c r="B56" s="11">
        <f>(R29/(M21-O33))*G21</f>
        <v>0.70228447200936783</v>
      </c>
      <c r="C56" s="11" t="s">
        <v>50</v>
      </c>
      <c r="D56" s="11"/>
      <c r="E56" s="11"/>
      <c r="F56" s="11"/>
      <c r="G56" s="11"/>
      <c r="H56" s="11"/>
      <c r="I56" s="11"/>
      <c r="J56" s="11"/>
      <c r="K56" s="36">
        <f t="shared" si="0"/>
        <v>0.7464304450338215</v>
      </c>
    </row>
    <row r="57" spans="1:12" x14ac:dyDescent="0.25">
      <c r="A57" s="11" t="s">
        <v>51</v>
      </c>
      <c r="B57" s="11">
        <f>L6+AM19</f>
        <v>6.221641499244264E-2</v>
      </c>
      <c r="C57" s="11" t="s">
        <v>52</v>
      </c>
      <c r="D57" s="11"/>
      <c r="E57" s="11"/>
      <c r="F57" s="11"/>
      <c r="G57" s="11"/>
      <c r="H57" s="11"/>
      <c r="I57" s="11"/>
      <c r="J57" s="11"/>
      <c r="K57" s="36">
        <f t="shared" si="0"/>
        <v>6.6127371716398167E-2</v>
      </c>
    </row>
    <row r="58" spans="1:12" x14ac:dyDescent="0.25">
      <c r="A58" s="11" t="s">
        <v>53</v>
      </c>
      <c r="B58" s="11">
        <f>P6+O33+R36+Y36+W6+AG29</f>
        <v>2.5633982442146781</v>
      </c>
      <c r="C58" s="11" t="s">
        <v>54</v>
      </c>
      <c r="D58" s="11"/>
      <c r="E58" s="11"/>
      <c r="F58" s="11"/>
      <c r="G58" s="11"/>
      <c r="H58" s="11"/>
      <c r="I58" s="11"/>
      <c r="J58" s="11"/>
      <c r="K58" s="36">
        <f t="shared" si="0"/>
        <v>2.7245348124435762</v>
      </c>
    </row>
    <row r="59" spans="1:12" x14ac:dyDescent="0.25">
      <c r="A59" s="13"/>
      <c r="B59" s="13"/>
      <c r="C59" s="13"/>
      <c r="D59" s="13"/>
      <c r="E59" s="13"/>
    </row>
    <row r="60" spans="1:12" ht="18" thickBot="1" x14ac:dyDescent="0.35">
      <c r="A60" s="4" t="s">
        <v>55</v>
      </c>
      <c r="B60" s="4"/>
      <c r="C60" s="13"/>
      <c r="D60" s="13"/>
      <c r="E60" s="13"/>
    </row>
    <row r="61" spans="1:12" ht="16.5" thickTop="1" x14ac:dyDescent="0.25">
      <c r="A61" s="3" t="s">
        <v>171</v>
      </c>
      <c r="B61" s="13"/>
      <c r="C61" s="13"/>
      <c r="D61" s="13"/>
      <c r="E61" s="13"/>
    </row>
    <row r="63" spans="1:12" x14ac:dyDescent="0.25">
      <c r="A63" s="5" t="s">
        <v>57</v>
      </c>
      <c r="B63" s="5" t="s">
        <v>58</v>
      </c>
      <c r="C63" s="5" t="s">
        <v>36</v>
      </c>
      <c r="D63" s="5" t="s">
        <v>5</v>
      </c>
      <c r="E63" s="5" t="s">
        <v>59</v>
      </c>
      <c r="F63" s="5" t="s">
        <v>60</v>
      </c>
      <c r="G63" s="5" t="s">
        <v>61</v>
      </c>
      <c r="H63" s="5" t="s">
        <v>62</v>
      </c>
      <c r="I63" s="5" t="s">
        <v>63</v>
      </c>
      <c r="J63" s="5"/>
      <c r="K63" s="5" t="str">
        <f>A46</f>
        <v>Li2CO3 (kg)</v>
      </c>
      <c r="L63" s="5" t="s">
        <v>64</v>
      </c>
    </row>
    <row r="64" spans="1:12" x14ac:dyDescent="0.25">
      <c r="A64" t="s">
        <v>172</v>
      </c>
      <c r="B64" t="s">
        <v>173</v>
      </c>
      <c r="C64" s="5">
        <f>[1]Impacts!E3</f>
        <v>4.692122229165509E-6</v>
      </c>
      <c r="D64" s="5">
        <f>[2]Impacts!E3</f>
        <v>9.1864337981141639E-4</v>
      </c>
      <c r="E64" s="5">
        <f>[3]Impacts!E3</f>
        <v>1.1257436393353423E-3</v>
      </c>
      <c r="F64" s="5">
        <f>[4]Impacts!E3</f>
        <v>4.581173522393113E-4</v>
      </c>
      <c r="G64" s="5">
        <f>[5]Impacts!E3</f>
        <v>2.5041739283608648E-4</v>
      </c>
      <c r="H64" s="5">
        <f>[6]Impacts!E3</f>
        <v>3.5067128249634013E-3</v>
      </c>
      <c r="I64" s="5">
        <v>0</v>
      </c>
      <c r="J64" s="5"/>
      <c r="K64" s="5">
        <f>[7]Impacts!E3</f>
        <v>1.9666266067471391E-2</v>
      </c>
      <c r="L64" s="5">
        <f>[8]Impacts!E3</f>
        <v>1.7180508146602259E-4</v>
      </c>
    </row>
    <row r="65" spans="1:12" x14ac:dyDescent="0.25">
      <c r="A65" t="s">
        <v>65</v>
      </c>
      <c r="B65" t="s">
        <v>66</v>
      </c>
      <c r="C65" s="5">
        <f>[1]Impacts!E4</f>
        <v>4.3346250721589972E-4</v>
      </c>
      <c r="D65" s="5">
        <f>[2]Impacts!E4</f>
        <v>0.4281769097339172</v>
      </c>
      <c r="E65" s="5">
        <f>[3]Impacts!E4</f>
        <v>1.9859718697932338</v>
      </c>
      <c r="F65" s="5">
        <f>[4]Impacts!E4</f>
        <v>1.5964474311074865</v>
      </c>
      <c r="G65" s="5">
        <f>[5]Impacts!E4</f>
        <v>3.9348159381086781E-2</v>
      </c>
      <c r="H65" s="5">
        <f>[6]Impacts!E4</f>
        <v>2.5105789006517405</v>
      </c>
      <c r="I65" s="5">
        <v>0</v>
      </c>
      <c r="J65" s="5"/>
      <c r="K65" s="5">
        <f>[7]Impacts!E4</f>
        <v>2.159820907530412</v>
      </c>
      <c r="L65" s="5">
        <f>[8]Impacts!E4</f>
        <v>0.61082931637914728</v>
      </c>
    </row>
    <row r="66" spans="1:12" x14ac:dyDescent="0.25">
      <c r="A66" t="s">
        <v>174</v>
      </c>
      <c r="B66" t="s">
        <v>66</v>
      </c>
      <c r="C66" s="5">
        <f>[1]Impacts!E5</f>
        <v>3.4720939131139716E-5</v>
      </c>
      <c r="D66" s="5">
        <f>[2]Impacts!E5</f>
        <v>5.13300207451005E-5</v>
      </c>
      <c r="E66" s="5">
        <f>[3]Impacts!E5</f>
        <v>2.0790601748930192E-4</v>
      </c>
      <c r="F66" s="5">
        <f>[4]Impacts!E5</f>
        <v>9.7666389775778937E-5</v>
      </c>
      <c r="G66" s="5">
        <f>[5]Impacts!E5</f>
        <v>9.7266301014365859E-5</v>
      </c>
      <c r="H66" s="5">
        <f>[6]Impacts!E5</f>
        <v>8.2783171566492664E-4</v>
      </c>
      <c r="I66" s="5">
        <v>0</v>
      </c>
      <c r="J66" s="5"/>
      <c r="K66" s="5">
        <f>[7]Impacts!E5</f>
        <v>1.3241142748413931E-2</v>
      </c>
      <c r="L66" s="5">
        <f>[8]Impacts!E5</f>
        <v>0.55651430336177887</v>
      </c>
    </row>
    <row r="67" spans="1:12" x14ac:dyDescent="0.25">
      <c r="A67" t="s">
        <v>175</v>
      </c>
      <c r="B67" t="s">
        <v>66</v>
      </c>
      <c r="C67" s="5">
        <f>[1]Impacts!E6</f>
        <v>3.9819375974749606E-4</v>
      </c>
      <c r="D67" s="5">
        <f>[2]Impacts!E6</f>
        <v>0.42807838732696796</v>
      </c>
      <c r="E67" s="5">
        <f>[3]Impacts!E6</f>
        <v>1.985622726902277</v>
      </c>
      <c r="F67" s="5">
        <f>[4]Impacts!E6</f>
        <v>1.5963294441528313</v>
      </c>
      <c r="G67" s="5">
        <f>[5]Impacts!E6</f>
        <v>3.9208818739680545E-2</v>
      </c>
      <c r="H67" s="5">
        <f>[6]Impacts!E6</f>
        <v>2.5091359243146778</v>
      </c>
      <c r="I67" s="5">
        <v>0</v>
      </c>
      <c r="J67" s="5"/>
      <c r="K67" s="5">
        <f>[7]Impacts!E6</f>
        <v>2.1439798249253994</v>
      </c>
      <c r="L67" s="5">
        <f>[8]Impacts!E6</f>
        <v>5.4293180711498946E-2</v>
      </c>
    </row>
    <row r="68" spans="1:12" x14ac:dyDescent="0.25">
      <c r="A68" t="s">
        <v>176</v>
      </c>
      <c r="B68" t="s">
        <v>66</v>
      </c>
      <c r="C68" s="5">
        <f>[1]Impacts!E7</f>
        <v>5.478083372639661E-7</v>
      </c>
      <c r="D68" s="5">
        <f>[2]Impacts!E7</f>
        <v>4.7192386204149598E-5</v>
      </c>
      <c r="E68" s="5">
        <f>[3]Impacts!E7</f>
        <v>1.4123687346749504E-4</v>
      </c>
      <c r="F68" s="5">
        <f>[4]Impacts!E7</f>
        <v>2.0320564879248807E-5</v>
      </c>
      <c r="G68" s="5">
        <f>[5]Impacts!E7</f>
        <v>4.207434039186576E-5</v>
      </c>
      <c r="H68" s="5">
        <f>[6]Impacts!E7</f>
        <v>6.1514462139802654E-4</v>
      </c>
      <c r="I68" s="5">
        <v>0</v>
      </c>
      <c r="J68" s="5"/>
      <c r="K68" s="5">
        <f>[7]Impacts!E7</f>
        <v>2.5999398565985407E-3</v>
      </c>
      <c r="L68" s="5">
        <f>[8]Impacts!E7</f>
        <v>2.183230586964943E-5</v>
      </c>
    </row>
    <row r="69" spans="1:12" x14ac:dyDescent="0.25">
      <c r="A69" t="s">
        <v>177</v>
      </c>
      <c r="B69" t="s">
        <v>178</v>
      </c>
      <c r="C69" s="5">
        <f>[1]Impacts!E8</f>
        <v>5.0651928933471584E-2</v>
      </c>
      <c r="D69" s="5">
        <f>[2]Impacts!E8</f>
        <v>0.6004619964165292</v>
      </c>
      <c r="E69" s="5">
        <f>[3]Impacts!E8</f>
        <v>15.496480467696724</v>
      </c>
      <c r="F69" s="5">
        <f>[4]Impacts!E8</f>
        <v>3.4185765418726</v>
      </c>
      <c r="G69" s="5">
        <f>[5]Impacts!E8</f>
        <v>8.2822034410836949</v>
      </c>
      <c r="H69" s="5">
        <f>[6]Impacts!E8</f>
        <v>38.434421723779771</v>
      </c>
      <c r="I69" s="5">
        <v>0</v>
      </c>
      <c r="J69" s="5"/>
      <c r="K69" s="5">
        <f>[7]Impacts!E8</f>
        <v>68.381948841213955</v>
      </c>
      <c r="L69" s="5">
        <f>[8]Impacts!E8</f>
        <v>2.5598852300854364</v>
      </c>
    </row>
    <row r="70" spans="1:12" x14ac:dyDescent="0.25">
      <c r="A70" t="s">
        <v>179</v>
      </c>
      <c r="B70" t="s">
        <v>178</v>
      </c>
      <c r="C70" s="5">
        <f>[1]Impacts!E9</f>
        <v>5.04202256290271E-2</v>
      </c>
      <c r="D70" s="5">
        <f>[2]Impacts!E9</f>
        <v>0.47284033483743321</v>
      </c>
      <c r="E70" s="5">
        <f>[3]Impacts!E9</f>
        <v>15.443269750677734</v>
      </c>
      <c r="F70" s="5">
        <f>[4]Impacts!E9</f>
        <v>3.4055151777986348</v>
      </c>
      <c r="G70" s="5">
        <f>[5]Impacts!E9</f>
        <v>8.2713137399989698</v>
      </c>
      <c r="H70" s="5">
        <f>[6]Impacts!E9</f>
        <v>38.202565861350806</v>
      </c>
      <c r="I70" s="5">
        <v>0</v>
      </c>
      <c r="J70" s="5"/>
      <c r="K70" s="5">
        <f>[7]Impacts!E9</f>
        <v>67.133609193078954</v>
      </c>
      <c r="L70" s="5">
        <f>[8]Impacts!E9</f>
        <v>2.5447889188117006</v>
      </c>
    </row>
    <row r="71" spans="1:12" x14ac:dyDescent="0.25">
      <c r="A71" t="s">
        <v>180</v>
      </c>
      <c r="B71" t="s">
        <v>178</v>
      </c>
      <c r="C71" s="5">
        <f>[1]Impacts!E10</f>
        <v>2.3170330444452055E-4</v>
      </c>
      <c r="D71" s="5">
        <f>[2]Impacts!E10</f>
        <v>0.12762166157909643</v>
      </c>
      <c r="E71" s="5">
        <f>[3]Impacts!E10</f>
        <v>5.3210717018973328E-2</v>
      </c>
      <c r="F71" s="5">
        <f>[4]Impacts!E10</f>
        <v>1.3061364073964221E-2</v>
      </c>
      <c r="G71" s="5">
        <f>[5]Impacts!E10</f>
        <v>1.0889701084735312E-2</v>
      </c>
      <c r="H71" s="5">
        <f>[6]Impacts!E10</f>
        <v>0.23185586242903328</v>
      </c>
      <c r="I71" s="5">
        <v>0</v>
      </c>
      <c r="J71" s="5"/>
      <c r="K71" s="5">
        <f>[7]Impacts!E10</f>
        <v>1.2483396481350681</v>
      </c>
      <c r="L71" s="5">
        <f>[8]Impacts!E10</f>
        <v>1.5096311273735941E-2</v>
      </c>
    </row>
    <row r="72" spans="1:12" x14ac:dyDescent="0.25">
      <c r="A72" t="s">
        <v>181</v>
      </c>
      <c r="B72" t="s">
        <v>182</v>
      </c>
      <c r="C72" s="5">
        <f>[1]Impacts!E11</f>
        <v>5.3652433539815641E-3</v>
      </c>
      <c r="D72" s="5">
        <f>[2]Impacts!E11</f>
        <v>9.9169736687639602</v>
      </c>
      <c r="E72" s="5">
        <f>[3]Impacts!E11</f>
        <v>2.9750957048445192</v>
      </c>
      <c r="F72" s="5">
        <f>[4]Impacts!E11</f>
        <v>0.53789134031003338</v>
      </c>
      <c r="G72" s="5">
        <f>[5]Impacts!E11</f>
        <v>0.56403611826047129</v>
      </c>
      <c r="H72" s="5">
        <f>[6]Impacts!E11</f>
        <v>12.279330499081084</v>
      </c>
      <c r="I72" s="5">
        <v>0</v>
      </c>
      <c r="J72" s="5"/>
      <c r="K72" s="5">
        <f>[7]Impacts!E11</f>
        <v>26.275155143068808</v>
      </c>
      <c r="L72" s="5">
        <f>[8]Impacts!E11</f>
        <v>0.34649128641935462</v>
      </c>
    </row>
    <row r="73" spans="1:12" x14ac:dyDescent="0.25">
      <c r="A73" t="s">
        <v>183</v>
      </c>
      <c r="B73" t="s">
        <v>67</v>
      </c>
      <c r="C73" s="5">
        <f>[1]Impacts!E12</f>
        <v>1.5551201792547164E-7</v>
      </c>
      <c r="D73" s="5">
        <f>[2]Impacts!E12</f>
        <v>8.4790857745831671E-5</v>
      </c>
      <c r="E73" s="5">
        <f>[3]Impacts!E12</f>
        <v>2.7963342441352022E-4</v>
      </c>
      <c r="F73" s="5">
        <f>[4]Impacts!E12</f>
        <v>5.9954778981823515E-6</v>
      </c>
      <c r="G73" s="5">
        <f>[5]Impacts!E12</f>
        <v>1.1558659449902957E-5</v>
      </c>
      <c r="H73" s="5">
        <f>[6]Impacts!E12</f>
        <v>6.867327820465998E-4</v>
      </c>
      <c r="I73" s="5">
        <v>0</v>
      </c>
      <c r="J73" s="5"/>
      <c r="K73" s="5">
        <f>[7]Impacts!E12</f>
        <v>1.9709617305072539E-3</v>
      </c>
      <c r="L73" s="5">
        <f>[8]Impacts!E12</f>
        <v>1.5932191378096658E-5</v>
      </c>
    </row>
    <row r="74" spans="1:12" x14ac:dyDescent="0.25">
      <c r="A74" t="s">
        <v>184</v>
      </c>
      <c r="B74" t="s">
        <v>68</v>
      </c>
      <c r="C74" s="5">
        <f>[1]Impacts!E13</f>
        <v>3.9590753719851674E-7</v>
      </c>
      <c r="D74" s="5">
        <f>[2]Impacts!E13</f>
        <v>2.5233674173128797E-4</v>
      </c>
      <c r="E74" s="5">
        <f>[3]Impacts!E13</f>
        <v>4.3660940992675678E-4</v>
      </c>
      <c r="F74" s="5">
        <f>[4]Impacts!E13</f>
        <v>9.7736103658016809E-4</v>
      </c>
      <c r="G74" s="5">
        <f>[5]Impacts!E13</f>
        <v>6.4931912700875915E-5</v>
      </c>
      <c r="H74" s="5">
        <f>[6]Impacts!E13</f>
        <v>8.7970378998701636E-4</v>
      </c>
      <c r="I74" s="5">
        <v>0</v>
      </c>
      <c r="J74" s="5"/>
      <c r="K74" s="5">
        <f>[7]Impacts!E13</f>
        <v>8.3834083435710104E-3</v>
      </c>
      <c r="L74" s="5">
        <f>[8]Impacts!E13</f>
        <v>1.7875681257467971E-3</v>
      </c>
    </row>
    <row r="75" spans="1:12" x14ac:dyDescent="0.25">
      <c r="A75" t="s">
        <v>185</v>
      </c>
      <c r="B75" t="s">
        <v>186</v>
      </c>
      <c r="C75" s="5">
        <f>[1]Impacts!E14</f>
        <v>4.0229991273403295E-6</v>
      </c>
      <c r="D75" s="5">
        <f>[2]Impacts!E14</f>
        <v>2.5579415851553857E-3</v>
      </c>
      <c r="E75" s="5">
        <f>[3]Impacts!E14</f>
        <v>3.7212298322550825E-3</v>
      </c>
      <c r="F75" s="5">
        <f>[4]Impacts!E14</f>
        <v>2.1737553266591115E-3</v>
      </c>
      <c r="G75" s="5">
        <f>[5]Impacts!E14</f>
        <v>6.9200449750275467E-4</v>
      </c>
      <c r="H75" s="5">
        <f>[6]Impacts!E14</f>
        <v>8.5568563133932973E-3</v>
      </c>
      <c r="I75" s="5">
        <v>0</v>
      </c>
      <c r="J75" s="5"/>
      <c r="K75" s="5">
        <f>[7]Impacts!E14</f>
        <v>5.5772230163880707E-2</v>
      </c>
      <c r="L75" s="5">
        <f>[8]Impacts!E14</f>
        <v>4.8649954401374366E-4</v>
      </c>
    </row>
    <row r="76" spans="1:12" x14ac:dyDescent="0.25">
      <c r="A76" t="s">
        <v>187</v>
      </c>
      <c r="B76" t="s">
        <v>188</v>
      </c>
      <c r="C76" s="5">
        <f>[1]Impacts!E15</f>
        <v>3.8365193261568331E-13</v>
      </c>
      <c r="D76" s="5">
        <f>[2]Impacts!E15</f>
        <v>6.8783021520926425E-11</v>
      </c>
      <c r="E76" s="5">
        <f>[3]Impacts!E15</f>
        <v>2.1916302320875915E-10</v>
      </c>
      <c r="F76" s="5">
        <f>[4]Impacts!E15</f>
        <v>2.7447280165311544E-10</v>
      </c>
      <c r="G76" s="5">
        <f>[5]Impacts!E15</f>
        <v>3.5454320619262287E-11</v>
      </c>
      <c r="H76" s="5">
        <f>[6]Impacts!E15</f>
        <v>1.5142892912042382E-9</v>
      </c>
      <c r="I76" s="5">
        <v>0</v>
      </c>
      <c r="J76" s="5"/>
      <c r="K76" s="5">
        <f>[7]Impacts!E15</f>
        <v>2.9893881305278722E-9</v>
      </c>
      <c r="L76" s="5">
        <f>[8]Impacts!E15</f>
        <v>3.2240379634019343E-11</v>
      </c>
    </row>
    <row r="77" spans="1:12" x14ac:dyDescent="0.25">
      <c r="A77" t="s">
        <v>189</v>
      </c>
      <c r="B77" t="s">
        <v>188</v>
      </c>
      <c r="C77" s="5">
        <f>[1]Impacts!E16</f>
        <v>2.4593996210056541E-13</v>
      </c>
      <c r="D77" s="5">
        <f>[2]Impacts!E16</f>
        <v>3.4692619048748938E-11</v>
      </c>
      <c r="E77" s="5">
        <f>[3]Impacts!E16</f>
        <v>7.4523462239851009E-11</v>
      </c>
      <c r="F77" s="5">
        <f>[4]Impacts!E16</f>
        <v>1.3032952816250908E-10</v>
      </c>
      <c r="G77" s="5">
        <f>[5]Impacts!E16</f>
        <v>9.6935522442158585E-12</v>
      </c>
      <c r="H77" s="5">
        <f>[6]Impacts!E16</f>
        <v>1.2928983416186932E-9</v>
      </c>
      <c r="I77" s="5">
        <v>0</v>
      </c>
      <c r="J77" s="5"/>
      <c r="K77" s="5">
        <f>[7]Impacts!E16</f>
        <v>2.4444598515963122E-9</v>
      </c>
      <c r="L77" s="5">
        <f>[8]Impacts!E16</f>
        <v>2.7401815931797577E-11</v>
      </c>
    </row>
    <row r="78" spans="1:12" x14ac:dyDescent="0.25">
      <c r="A78" t="s">
        <v>190</v>
      </c>
      <c r="B78" t="s">
        <v>188</v>
      </c>
      <c r="C78" s="5">
        <f>[1]Impacts!E17</f>
        <v>1.377119705151178E-13</v>
      </c>
      <c r="D78" s="5">
        <f>[2]Impacts!E17</f>
        <v>3.4090402472177507E-11</v>
      </c>
      <c r="E78" s="5">
        <f>[3]Impacts!E17</f>
        <v>1.446395609689082E-10</v>
      </c>
      <c r="F78" s="5">
        <f>[4]Impacts!E17</f>
        <v>1.4414327349060625E-10</v>
      </c>
      <c r="G78" s="5">
        <f>[5]Impacts!E17</f>
        <v>2.5760768375046418E-11</v>
      </c>
      <c r="H78" s="5">
        <f>[6]Impacts!E17</f>
        <v>2.2139094958554549E-10</v>
      </c>
      <c r="I78" s="5"/>
      <c r="J78" s="5"/>
      <c r="K78" s="5">
        <f>[7]Impacts!E17</f>
        <v>5.4492827893155923E-10</v>
      </c>
      <c r="L78" s="5">
        <f>[8]Impacts!E17</f>
        <v>4.8385637022217886E-12</v>
      </c>
    </row>
    <row r="79" spans="1:12" x14ac:dyDescent="0.25">
      <c r="A79" t="s">
        <v>191</v>
      </c>
      <c r="B79" t="s">
        <v>188</v>
      </c>
      <c r="C79" s="5">
        <f>[1]Impacts!E18</f>
        <v>9.0311567352861167E-12</v>
      </c>
      <c r="D79" s="5">
        <f>[2]Impacts!E18</f>
        <v>1.5093481634416235E-9</v>
      </c>
      <c r="E79" s="5">
        <f>[3]Impacts!E18</f>
        <v>2.8695777896498485E-9</v>
      </c>
      <c r="F79" s="5">
        <f>[4]Impacts!E18</f>
        <v>5.3255426401488966E-9</v>
      </c>
      <c r="G79" s="5">
        <f>[5]Impacts!E18</f>
        <v>4.6384572584822904E-10</v>
      </c>
      <c r="H79" s="5">
        <f>[6]Impacts!E18</f>
        <v>1.2011148544520457E-8</v>
      </c>
      <c r="I79" s="5"/>
      <c r="J79" s="5"/>
      <c r="K79" s="5">
        <f>[7]Impacts!E18</f>
        <v>1.0216450746670304E-7</v>
      </c>
      <c r="L79" s="5">
        <f>[8]Impacts!E18</f>
        <v>1.4715338750196004E-9</v>
      </c>
    </row>
    <row r="80" spans="1:12" x14ac:dyDescent="0.25">
      <c r="A80" t="s">
        <v>192</v>
      </c>
      <c r="B80" t="s">
        <v>188</v>
      </c>
      <c r="C80" s="5">
        <f>[1]Impacts!E19</f>
        <v>8.6611564641843051E-12</v>
      </c>
      <c r="D80" s="5">
        <f>[2]Impacts!E19</f>
        <v>1.4431461204892331E-9</v>
      </c>
      <c r="E80" s="5">
        <f>[3]Impacts!E19</f>
        <v>2.7739449066142375E-9</v>
      </c>
      <c r="F80" s="5">
        <f>[4]Impacts!E19</f>
        <v>5.2510496216691586E-9</v>
      </c>
      <c r="G80" s="5">
        <f>[5]Impacts!E19</f>
        <v>4.4974857654855111E-10</v>
      </c>
      <c r="H80" s="5">
        <f>[6]Impacts!E19</f>
        <v>1.157177340907836E-8</v>
      </c>
      <c r="I80" s="5"/>
      <c r="J80" s="5"/>
      <c r="K80" s="5">
        <f>[7]Impacts!E19</f>
        <v>1.0024254051620969E-7</v>
      </c>
      <c r="L80" s="5">
        <f>[8]Impacts!E19</f>
        <v>4.494959741755842E-10</v>
      </c>
    </row>
    <row r="81" spans="1:34" x14ac:dyDescent="0.25">
      <c r="A81" t="s">
        <v>193</v>
      </c>
      <c r="B81" t="s">
        <v>188</v>
      </c>
      <c r="C81" s="5">
        <f>[1]Impacts!E20</f>
        <v>3.7000027110181791E-13</v>
      </c>
      <c r="D81" s="5">
        <f>[2]Impacts!E20</f>
        <v>6.6202042952391605E-11</v>
      </c>
      <c r="E81" s="5">
        <f>[3]Impacts!E20</f>
        <v>9.5632883035610656E-11</v>
      </c>
      <c r="F81" s="5">
        <f>[4]Impacts!E20</f>
        <v>7.4493018479738457E-11</v>
      </c>
      <c r="G81" s="5">
        <f>[5]Impacts!E20</f>
        <v>1.4097149299677819E-11</v>
      </c>
      <c r="H81" s="5">
        <f>[6]Impacts!E20</f>
        <v>4.393751354421018E-10</v>
      </c>
      <c r="I81" s="5"/>
      <c r="J81" s="5"/>
      <c r="K81" s="5">
        <f>[7]Impacts!E20</f>
        <v>1.9219669504934385E-9</v>
      </c>
      <c r="L81" s="5">
        <f>[8]Impacts!E20</f>
        <v>1.0220379008440175E-9</v>
      </c>
    </row>
    <row r="82" spans="1:34" x14ac:dyDescent="0.25">
      <c r="A82" t="s">
        <v>194</v>
      </c>
      <c r="B82" t="s">
        <v>195</v>
      </c>
      <c r="C82" s="5">
        <f>[1]Impacts!E21</f>
        <v>4.5414803455755116E-5</v>
      </c>
      <c r="D82" s="5">
        <f>[2]Impacts!E21</f>
        <v>0.28914623229534725</v>
      </c>
      <c r="E82" s="5">
        <f>[3]Impacts!E21</f>
        <v>1.0434812532779194E-2</v>
      </c>
      <c r="F82" s="5">
        <f>[4]Impacts!E21</f>
        <v>9.2589039680171222E-4</v>
      </c>
      <c r="G82" s="5">
        <f>[5]Impacts!E21</f>
        <v>2.4488377665094914E-3</v>
      </c>
      <c r="H82" s="5">
        <f>[6]Impacts!E21</f>
        <v>4.485553755533226E-2</v>
      </c>
      <c r="I82" s="5"/>
      <c r="J82" s="5"/>
      <c r="K82" s="5">
        <f>[7]Impacts!E21</f>
        <v>0.12115057820908416</v>
      </c>
      <c r="L82" s="5">
        <f>[8]Impacts!E21</f>
        <v>1.2682243528615881E-3</v>
      </c>
    </row>
    <row r="83" spans="1:34" x14ac:dyDescent="0.25">
      <c r="A83" t="s">
        <v>196</v>
      </c>
      <c r="B83" t="s">
        <v>197</v>
      </c>
      <c r="C83" s="5">
        <f>[1]Impacts!E22</f>
        <v>1.7326931978326493E-3</v>
      </c>
      <c r="D83" s="5">
        <f>[2]Impacts!E22</f>
        <v>1.3296370311871331</v>
      </c>
      <c r="E83" s="5">
        <f>[3]Impacts!E22</f>
        <v>0.54568069579970557</v>
      </c>
      <c r="F83" s="5">
        <f>[4]Impacts!E22</f>
        <v>0.40289403583460331</v>
      </c>
      <c r="G83" s="5">
        <f>[5]Impacts!E22</f>
        <v>0.69232446360993072</v>
      </c>
      <c r="H83" s="5">
        <f>[6]Impacts!E22</f>
        <v>2.2581710232255126</v>
      </c>
      <c r="I83" s="5">
        <v>0</v>
      </c>
      <c r="J83" s="5"/>
      <c r="K83" s="5">
        <f>[7]Impacts!E22</f>
        <v>29.625631790119389</v>
      </c>
      <c r="L83" s="5">
        <f>[8]Impacts!E22</f>
        <v>0.59734442454656311</v>
      </c>
    </row>
    <row r="84" spans="1:34" x14ac:dyDescent="0.25">
      <c r="A84" t="s">
        <v>198</v>
      </c>
      <c r="B84" t="s">
        <v>199</v>
      </c>
      <c r="C84" s="5">
        <f>[1]Impacts!E23</f>
        <v>8.5960332802556657E-9</v>
      </c>
      <c r="D84" s="5">
        <f>[2]Impacts!E23</f>
        <v>6.2163514397111894E-7</v>
      </c>
      <c r="E84" s="5">
        <f>[3]Impacts!E23</f>
        <v>1.4689421087612479E-6</v>
      </c>
      <c r="F84" s="5">
        <f>[4]Impacts!E23</f>
        <v>1.4872991103539751E-7</v>
      </c>
      <c r="G84" s="5">
        <f>[5]Impacts!E23</f>
        <v>8.3785881489488546E-8</v>
      </c>
      <c r="H84" s="5">
        <f>[6]Impacts!E23</f>
        <v>6.1294517155744296E-6</v>
      </c>
      <c r="I84" s="5">
        <v>0</v>
      </c>
      <c r="J84" s="5"/>
      <c r="K84" s="5">
        <f>[7]Impacts!E23</f>
        <v>5.8660218915084422E-5</v>
      </c>
      <c r="L84" s="5">
        <f>[8]Impacts!E23</f>
        <v>6.4322537503390001E-8</v>
      </c>
    </row>
    <row r="85" spans="1:34" x14ac:dyDescent="0.25">
      <c r="A85" t="s">
        <v>200</v>
      </c>
      <c r="B85" t="s">
        <v>69</v>
      </c>
      <c r="C85" s="5">
        <f>[1]Impacts!E24</f>
        <v>2.2251833779696891E-10</v>
      </c>
      <c r="D85" s="5">
        <f>[2]Impacts!E24</f>
        <v>2.2148541251203087E-8</v>
      </c>
      <c r="E85" s="5">
        <f>[3]Impacts!E24</f>
        <v>3.7858039237149263E-8</v>
      </c>
      <c r="F85" s="5">
        <f>[4]Impacts!E24</f>
        <v>1.916520818711307E-9</v>
      </c>
      <c r="G85" s="5">
        <f>[5]Impacts!E24</f>
        <v>4.5120684684167513E-10</v>
      </c>
      <c r="H85" s="5">
        <f>[6]Impacts!E24</f>
        <v>1.6552927786910482E-7</v>
      </c>
      <c r="I85" s="5">
        <v>0</v>
      </c>
      <c r="J85" s="5"/>
      <c r="K85" s="5">
        <f>[7]Impacts!E24</f>
        <v>3.4916674315984016E-8</v>
      </c>
      <c r="L85" s="5">
        <f>[8]Impacts!E24</f>
        <v>3.5396731690011054E-10</v>
      </c>
    </row>
    <row r="86" spans="1:34" x14ac:dyDescent="0.25">
      <c r="A86" t="s">
        <v>201</v>
      </c>
      <c r="B86" t="s">
        <v>202</v>
      </c>
      <c r="C86" s="5">
        <f>[1]Impacts!E25</f>
        <v>3.7436311437297282E-11</v>
      </c>
      <c r="D86" s="5">
        <f>[2]Impacts!E25</f>
        <v>4.8983832881176746E-9</v>
      </c>
      <c r="E86" s="5">
        <f>[3]Impacts!E25</f>
        <v>1.6967692386895422E-8</v>
      </c>
      <c r="F86" s="5">
        <f>[4]Impacts!E25</f>
        <v>1.2629685502001521E-8</v>
      </c>
      <c r="G86" s="5">
        <f>[5]Impacts!E25</f>
        <v>3.8853686413120416E-9</v>
      </c>
      <c r="H86" s="5">
        <f>[6]Impacts!E25</f>
        <v>3.8448215540653368E-8</v>
      </c>
      <c r="I86" s="5">
        <v>0</v>
      </c>
      <c r="J86" s="5"/>
      <c r="K86" s="5">
        <f>[7]Impacts!E25</f>
        <v>2.4768572277508995E-7</v>
      </c>
      <c r="L86" s="5">
        <f>[8]Impacts!E25</f>
        <v>2.2379424672438651E-9</v>
      </c>
    </row>
    <row r="87" spans="1:34" x14ac:dyDescent="0.25">
      <c r="A87" t="s">
        <v>203</v>
      </c>
      <c r="B87" t="s">
        <v>204</v>
      </c>
      <c r="C87" s="5">
        <f>[1]Impacts!E26</f>
        <v>1.4898266188380236E-6</v>
      </c>
      <c r="D87" s="5">
        <f>[2]Impacts!E26</f>
        <v>8.4817457783881113E-4</v>
      </c>
      <c r="E87" s="5">
        <f>[3]Impacts!E26</f>
        <v>1.0989304631537915E-3</v>
      </c>
      <c r="F87" s="5">
        <f>[4]Impacts!E26</f>
        <v>5.9843978515973604E-4</v>
      </c>
      <c r="G87" s="5">
        <f>[5]Impacts!E26</f>
        <v>2.2913507820995747E-4</v>
      </c>
      <c r="H87" s="5">
        <f>[6]Impacts!E26</f>
        <v>3.2059852139465295E-3</v>
      </c>
      <c r="I87" s="5"/>
      <c r="J87" s="5"/>
      <c r="K87" s="5">
        <f>[7]Impacts!E26</f>
        <v>1.1027718220120969E-2</v>
      </c>
      <c r="L87" s="5">
        <f>[8]Impacts!E26</f>
        <v>3.6921199853446956E-4</v>
      </c>
    </row>
    <row r="88" spans="1:34" s="11" customFormat="1" x14ac:dyDescent="0.25">
      <c r="A88" t="s">
        <v>205</v>
      </c>
      <c r="B88" t="s">
        <v>206</v>
      </c>
      <c r="C88" s="5">
        <f>[1]Impacts!E27</f>
        <v>9.9983654370300323E-4</v>
      </c>
      <c r="D88" s="5">
        <f>[2]Impacts!E27</f>
        <v>6.7469199700222665E-2</v>
      </c>
      <c r="E88" s="5">
        <f>[3]Impacts!E27</f>
        <v>0.10681680621326249</v>
      </c>
      <c r="F88" s="5">
        <f>[4]Impacts!E27</f>
        <v>6.2280155275503235E-2</v>
      </c>
      <c r="G88" s="5">
        <f>[5]Impacts!E27</f>
        <v>6.9642812969866186E-3</v>
      </c>
      <c r="H88" s="5">
        <f>[6]Impacts!E27</f>
        <v>0.36266370611535315</v>
      </c>
      <c r="K88" s="5">
        <f>[7]Impacts!E27</f>
        <v>1.7816903600181819</v>
      </c>
      <c r="L88" s="5">
        <f>[8]Impacts!E27</f>
        <v>3.1705601711219714E-3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90" spans="1:34" ht="18" thickBot="1" x14ac:dyDescent="0.35">
      <c r="A90" s="4" t="s">
        <v>70</v>
      </c>
      <c r="B90" s="4"/>
    </row>
    <row r="91" spans="1:34" ht="16.5" thickTop="1" x14ac:dyDescent="0.25"/>
    <row r="92" spans="1:34" x14ac:dyDescent="0.25">
      <c r="A92" s="15" t="s">
        <v>57</v>
      </c>
      <c r="B92" s="15" t="s">
        <v>58</v>
      </c>
      <c r="C92" s="15" t="s">
        <v>71</v>
      </c>
      <c r="D92" s="15" t="s">
        <v>72</v>
      </c>
      <c r="E92" s="15" t="s">
        <v>73</v>
      </c>
      <c r="F92" s="15" t="s">
        <v>74</v>
      </c>
      <c r="G92" s="15" t="s">
        <v>75</v>
      </c>
      <c r="H92" s="15" t="s">
        <v>47</v>
      </c>
      <c r="I92" s="15" t="s">
        <v>48</v>
      </c>
      <c r="J92" s="15" t="s">
        <v>49</v>
      </c>
      <c r="K92" s="15" t="s">
        <v>76</v>
      </c>
      <c r="L92" s="15" t="s">
        <v>77</v>
      </c>
      <c r="M92" s="15" t="s">
        <v>78</v>
      </c>
    </row>
    <row r="93" spans="1:34" x14ac:dyDescent="0.25">
      <c r="A93" t="s">
        <v>172</v>
      </c>
      <c r="B93" t="s">
        <v>173</v>
      </c>
      <c r="C93" s="16">
        <f>$B$47*C64</f>
        <v>1.1719326006897526E-5</v>
      </c>
      <c r="D93" s="16">
        <f>$B$49*D64</f>
        <v>6.1255741125222397E-3</v>
      </c>
      <c r="E93" s="16">
        <f>$B$51*E64</f>
        <v>1.0935473712503515E-4</v>
      </c>
      <c r="F93" s="16">
        <f>$B$52*F64</f>
        <v>1.0047429769312577E-4</v>
      </c>
      <c r="G93" s="16">
        <f>$B$53*G64</f>
        <v>1.9290653439735087E-4</v>
      </c>
      <c r="H93" s="16">
        <f>$B$54*G64</f>
        <v>3.6303820267555412E-5</v>
      </c>
      <c r="I93" s="16">
        <f>$B$55*G64</f>
        <v>4.4317750315203946E-5</v>
      </c>
      <c r="J93" s="16">
        <f>$B$56*L64</f>
        <v>1.206560409258921E-4</v>
      </c>
      <c r="K93" s="16">
        <f>$B$57*H64</f>
        <v>2.1817510037724385E-4</v>
      </c>
      <c r="L93" s="16">
        <f>$B$58*I64*0.001</f>
        <v>0</v>
      </c>
      <c r="M93" s="16">
        <f>$B$46*K64</f>
        <v>4.4132674080516799E-4</v>
      </c>
    </row>
    <row r="94" spans="1:34" x14ac:dyDescent="0.25">
      <c r="A94" t="s">
        <v>65</v>
      </c>
      <c r="B94" t="s">
        <v>66</v>
      </c>
      <c r="C94" s="16">
        <f t="shared" ref="C94:C117" si="1">$B$47*C65</f>
        <v>1.0826419657728641E-3</v>
      </c>
      <c r="D94" s="16">
        <f t="shared" ref="D94:D117" si="2">$B$49*D65</f>
        <v>2.8551116259981999</v>
      </c>
      <c r="E94" s="16">
        <f t="shared" ref="E94:E117" si="3">$B$51*E65</f>
        <v>0.19291730743171473</v>
      </c>
      <c r="F94" s="16">
        <f t="shared" ref="F94:F117" si="4">$B$52*F65</f>
        <v>0.35013285059049398</v>
      </c>
      <c r="G94" s="16">
        <f t="shared" ref="G94:G117" si="5">$B$53*G65</f>
        <v>3.0311461097626391E-2</v>
      </c>
      <c r="H94" s="16">
        <f t="shared" ref="H94:H117" si="6">$B$54*G65</f>
        <v>5.7044300711377987E-3</v>
      </c>
      <c r="I94" s="16">
        <f t="shared" ref="I94:I117" si="7">$B$55*G65</f>
        <v>6.9636612819273776E-3</v>
      </c>
      <c r="J94" s="16">
        <f t="shared" ref="J94:J117" si="8">$B$56*L65</f>
        <v>0.42897594394117256</v>
      </c>
      <c r="K94" s="16">
        <f t="shared" ref="K94:K117" si="9">$B$57*H65</f>
        <v>0.1561992187542191</v>
      </c>
      <c r="L94" s="16">
        <f t="shared" ref="L94:L117" si="10">$B$58*I65*0.001</f>
        <v>0</v>
      </c>
      <c r="M94" s="16">
        <f t="shared" ref="M94:M117" si="11">$B$46*K65</f>
        <v>4.8468108718403694E-2</v>
      </c>
    </row>
    <row r="95" spans="1:34" x14ac:dyDescent="0.25">
      <c r="A95" t="s">
        <v>174</v>
      </c>
      <c r="B95" t="s">
        <v>66</v>
      </c>
      <c r="C95" s="16">
        <f t="shared" si="1"/>
        <v>8.6721100830282436E-5</v>
      </c>
      <c r="D95" s="16">
        <f t="shared" si="2"/>
        <v>3.4227193400769302E-4</v>
      </c>
      <c r="E95" s="16">
        <f t="shared" si="3"/>
        <v>2.0195990538910788E-5</v>
      </c>
      <c r="F95" s="16">
        <f t="shared" si="4"/>
        <v>2.1420192605623838E-5</v>
      </c>
      <c r="G95" s="16">
        <f t="shared" si="5"/>
        <v>7.4928122323406597E-5</v>
      </c>
      <c r="H95" s="16">
        <f t="shared" si="6"/>
        <v>1.410101059724245E-5</v>
      </c>
      <c r="I95" s="16">
        <f t="shared" si="7"/>
        <v>1.7213754977713155E-5</v>
      </c>
      <c r="J95" s="16">
        <f t="shared" si="8"/>
        <v>0.39083135370208805</v>
      </c>
      <c r="K95" s="16">
        <f t="shared" si="9"/>
        <v>5.1504721565714853E-5</v>
      </c>
      <c r="L95" s="16">
        <f t="shared" si="10"/>
        <v>0</v>
      </c>
      <c r="M95" s="16">
        <f t="shared" si="11"/>
        <v>2.9714183432914674E-4</v>
      </c>
    </row>
    <row r="96" spans="1:34" x14ac:dyDescent="0.25">
      <c r="A96" t="s">
        <v>175</v>
      </c>
      <c r="B96" t="s">
        <v>66</v>
      </c>
      <c r="C96" s="16">
        <f t="shared" si="1"/>
        <v>9.9455262597093102E-4</v>
      </c>
      <c r="D96" s="16">
        <f t="shared" si="2"/>
        <v>2.8544546721478001</v>
      </c>
      <c r="E96" s="16">
        <f t="shared" si="3"/>
        <v>0.19288339169128721</v>
      </c>
      <c r="F96" s="16">
        <f t="shared" si="4"/>
        <v>0.35010697369159899</v>
      </c>
      <c r="G96" s="16">
        <f t="shared" si="5"/>
        <v>3.0204121427925511E-2</v>
      </c>
      <c r="H96" s="16">
        <f t="shared" si="6"/>
        <v>5.6842294071811662E-3</v>
      </c>
      <c r="I96" s="16">
        <f t="shared" si="7"/>
        <v>6.9390013983439561E-3</v>
      </c>
      <c r="J96" s="16">
        <f t="shared" si="8"/>
        <v>3.8129257749684231E-2</v>
      </c>
      <c r="K96" s="16">
        <f t="shared" si="9"/>
        <v>0.15610944193960813</v>
      </c>
      <c r="L96" s="16">
        <f t="shared" si="10"/>
        <v>0</v>
      </c>
      <c r="M96" s="16">
        <f t="shared" si="11"/>
        <v>4.8112622154105701E-2</v>
      </c>
    </row>
    <row r="97" spans="1:13" x14ac:dyDescent="0.25">
      <c r="A97" t="s">
        <v>176</v>
      </c>
      <c r="B97" t="s">
        <v>66</v>
      </c>
      <c r="C97" s="16">
        <f t="shared" si="1"/>
        <v>1.3682389716507177E-6</v>
      </c>
      <c r="D97" s="16">
        <f t="shared" si="2"/>
        <v>3.1468191639244633E-4</v>
      </c>
      <c r="E97" s="16">
        <f t="shared" si="3"/>
        <v>1.3719749888632469E-5</v>
      </c>
      <c r="F97" s="16">
        <f t="shared" si="4"/>
        <v>4.4567062893168482E-6</v>
      </c>
      <c r="G97" s="16">
        <f t="shared" si="5"/>
        <v>3.2411547377469874E-5</v>
      </c>
      <c r="H97" s="16">
        <f t="shared" si="6"/>
        <v>6.0996533593896861E-6</v>
      </c>
      <c r="I97" s="16">
        <f t="shared" si="7"/>
        <v>7.446128605708023E-6</v>
      </c>
      <c r="J97" s="16">
        <f t="shared" si="8"/>
        <v>1.5332489400413771E-5</v>
      </c>
      <c r="K97" s="16">
        <f t="shared" si="9"/>
        <v>3.8272093045268629E-5</v>
      </c>
      <c r="L97" s="16">
        <f t="shared" si="10"/>
        <v>0</v>
      </c>
      <c r="M97" s="16">
        <f t="shared" si="11"/>
        <v>5.8344729968845626E-5</v>
      </c>
    </row>
    <row r="98" spans="1:13" x14ac:dyDescent="0.25">
      <c r="A98" t="s">
        <v>177</v>
      </c>
      <c r="B98" t="s">
        <v>178</v>
      </c>
      <c r="C98" s="16">
        <f t="shared" si="1"/>
        <v>0.12651129681997464</v>
      </c>
      <c r="D98" s="16">
        <f t="shared" si="2"/>
        <v>4.0039198470657755</v>
      </c>
      <c r="E98" s="16">
        <f t="shared" si="3"/>
        <v>1.5053281126320599</v>
      </c>
      <c r="F98" s="16">
        <f t="shared" si="4"/>
        <v>0.74976220716349873</v>
      </c>
      <c r="G98" s="16">
        <f t="shared" si="5"/>
        <v>6.3801125988044136</v>
      </c>
      <c r="H98" s="16">
        <f t="shared" si="6"/>
        <v>1.2006978498543912</v>
      </c>
      <c r="I98" s="16">
        <f t="shared" si="7"/>
        <v>1.4657473269116172</v>
      </c>
      <c r="J98" s="16">
        <f t="shared" si="8"/>
        <v>1.7977676472151298</v>
      </c>
      <c r="K98" s="16">
        <f t="shared" si="9"/>
        <v>2.3912519319612349</v>
      </c>
      <c r="L98" s="16">
        <f t="shared" si="10"/>
        <v>0</v>
      </c>
      <c r="M98" s="16">
        <f t="shared" si="11"/>
        <v>1.5345456279530014</v>
      </c>
    </row>
    <row r="99" spans="1:13" x14ac:dyDescent="0.25">
      <c r="A99" t="s">
        <v>179</v>
      </c>
      <c r="B99" t="s">
        <v>178</v>
      </c>
      <c r="C99" s="16">
        <f t="shared" si="1"/>
        <v>0.12593258074459585</v>
      </c>
      <c r="D99" s="16">
        <f t="shared" si="2"/>
        <v>3.1529302644418116</v>
      </c>
      <c r="E99" s="16">
        <f t="shared" si="3"/>
        <v>1.5001592235808352</v>
      </c>
      <c r="F99" s="16">
        <f t="shared" si="4"/>
        <v>0.74689758879479662</v>
      </c>
      <c r="G99" s="16">
        <f t="shared" si="5"/>
        <v>6.3717238264708067</v>
      </c>
      <c r="H99" s="16">
        <f t="shared" si="6"/>
        <v>1.1991191346283043</v>
      </c>
      <c r="I99" s="16">
        <f t="shared" si="7"/>
        <v>1.4638201163124878</v>
      </c>
      <c r="J99" s="16">
        <f t="shared" si="8"/>
        <v>1.7871657422229652</v>
      </c>
      <c r="K99" s="16">
        <f t="shared" si="9"/>
        <v>2.3768266914059235</v>
      </c>
      <c r="L99" s="16">
        <f t="shared" si="10"/>
        <v>0</v>
      </c>
      <c r="M99" s="16">
        <f t="shared" si="11"/>
        <v>1.5065318877524385</v>
      </c>
    </row>
    <row r="100" spans="1:13" x14ac:dyDescent="0.25">
      <c r="A100" t="s">
        <v>180</v>
      </c>
      <c r="B100" t="s">
        <v>178</v>
      </c>
      <c r="C100" s="16">
        <f t="shared" si="1"/>
        <v>5.7871607537890121E-4</v>
      </c>
      <c r="D100" s="16">
        <f t="shared" si="2"/>
        <v>0.85098958262396662</v>
      </c>
      <c r="E100" s="16">
        <f t="shared" si="3"/>
        <v>5.1688890512230695E-3</v>
      </c>
      <c r="F100" s="16">
        <f t="shared" si="4"/>
        <v>2.8646183687018332E-3</v>
      </c>
      <c r="G100" s="16">
        <f t="shared" si="5"/>
        <v>8.3887723336150011E-3</v>
      </c>
      <c r="H100" s="16">
        <f t="shared" si="6"/>
        <v>1.5787152260881767E-3</v>
      </c>
      <c r="I100" s="16">
        <f t="shared" si="7"/>
        <v>1.9272105991311912E-3</v>
      </c>
      <c r="J100" s="16">
        <f t="shared" si="8"/>
        <v>1.0601904992164712E-2</v>
      </c>
      <c r="K100" s="16">
        <f t="shared" si="9"/>
        <v>1.4425240555315424E-2</v>
      </c>
      <c r="L100" s="16">
        <f t="shared" si="10"/>
        <v>0</v>
      </c>
      <c r="M100" s="16">
        <f t="shared" si="11"/>
        <v>2.8013740200564449E-2</v>
      </c>
    </row>
    <row r="101" spans="1:13" x14ac:dyDescent="0.25">
      <c r="A101" t="s">
        <v>181</v>
      </c>
      <c r="B101" t="s">
        <v>182</v>
      </c>
      <c r="C101" s="16">
        <f t="shared" si="1"/>
        <v>1.3400553715505595E-2</v>
      </c>
      <c r="D101" s="16">
        <f t="shared" si="2"/>
        <v>66.127028741464059</v>
      </c>
      <c r="E101" s="16">
        <f t="shared" si="3"/>
        <v>0.28900079676859664</v>
      </c>
      <c r="F101" s="16">
        <f t="shared" si="4"/>
        <v>0.11797032875679653</v>
      </c>
      <c r="G101" s="16">
        <f t="shared" si="5"/>
        <v>0.43449958334077149</v>
      </c>
      <c r="H101" s="16">
        <f t="shared" si="6"/>
        <v>8.1770142360443041E-2</v>
      </c>
      <c r="I101" s="16">
        <f t="shared" si="7"/>
        <v>9.9820589834933526E-2</v>
      </c>
      <c r="J101" s="16">
        <f t="shared" si="8"/>
        <v>0.2433354501388631</v>
      </c>
      <c r="K101" s="16">
        <f t="shared" si="9"/>
        <v>0.7639759221601865</v>
      </c>
      <c r="L101" s="16">
        <f t="shared" si="10"/>
        <v>0</v>
      </c>
      <c r="M101" s="16">
        <f t="shared" si="11"/>
        <v>0.58963549784474478</v>
      </c>
    </row>
    <row r="102" spans="1:13" x14ac:dyDescent="0.25">
      <c r="A102" t="s">
        <v>183</v>
      </c>
      <c r="B102" t="s">
        <v>67</v>
      </c>
      <c r="C102" s="16">
        <f t="shared" si="1"/>
        <v>3.8841614669173356E-7</v>
      </c>
      <c r="D102" s="16">
        <f t="shared" si="2"/>
        <v>5.6539098261726526E-4</v>
      </c>
      <c r="E102" s="16">
        <f t="shared" si="3"/>
        <v>2.7163590847529354E-5</v>
      </c>
      <c r="F102" s="16">
        <f t="shared" si="4"/>
        <v>1.3149282126293535E-6</v>
      </c>
      <c r="G102" s="16">
        <f t="shared" si="5"/>
        <v>8.9040977206382438E-6</v>
      </c>
      <c r="H102" s="16">
        <f t="shared" si="6"/>
        <v>1.6756962863111796E-6</v>
      </c>
      <c r="I102" s="16">
        <f t="shared" si="7"/>
        <v>2.0455998590104854E-6</v>
      </c>
      <c r="J102" s="16">
        <f t="shared" si="8"/>
        <v>1.1188930609918814E-5</v>
      </c>
      <c r="K102" s="16">
        <f t="shared" si="9"/>
        <v>4.2726051756725916E-5</v>
      </c>
      <c r="L102" s="16">
        <f t="shared" si="10"/>
        <v>0</v>
      </c>
      <c r="M102" s="16">
        <f t="shared" si="11"/>
        <v>4.4229957725184003E-5</v>
      </c>
    </row>
    <row r="103" spans="1:13" x14ac:dyDescent="0.25">
      <c r="A103" t="s">
        <v>184</v>
      </c>
      <c r="B103" t="s">
        <v>68</v>
      </c>
      <c r="C103" s="16">
        <f t="shared" si="1"/>
        <v>9.8884241935924742E-7</v>
      </c>
      <c r="D103" s="16">
        <f t="shared" si="2"/>
        <v>1.6825978902767452E-3</v>
      </c>
      <c r="E103" s="16">
        <f t="shared" si="3"/>
        <v>4.2412238080285155E-5</v>
      </c>
      <c r="F103" s="16">
        <f t="shared" si="4"/>
        <v>2.1435482254276249E-4</v>
      </c>
      <c r="G103" s="16">
        <f t="shared" si="5"/>
        <v>5.0019649629992754E-5</v>
      </c>
      <c r="H103" s="16">
        <f t="shared" si="6"/>
        <v>9.4133896277092056E-6</v>
      </c>
      <c r="I103" s="16">
        <f t="shared" si="7"/>
        <v>1.1491359533679147E-5</v>
      </c>
      <c r="J103" s="16">
        <f t="shared" si="8"/>
        <v>1.2553813373708646E-3</v>
      </c>
      <c r="K103" s="16">
        <f t="shared" si="9"/>
        <v>5.4732016068256816E-5</v>
      </c>
      <c r="L103" s="16">
        <f t="shared" si="10"/>
        <v>0</v>
      </c>
      <c r="M103" s="16">
        <f t="shared" si="11"/>
        <v>1.8813038877912194E-4</v>
      </c>
    </row>
    <row r="104" spans="1:13" x14ac:dyDescent="0.25">
      <c r="A104" t="s">
        <v>185</v>
      </c>
      <c r="B104" t="s">
        <v>186</v>
      </c>
      <c r="C104" s="16">
        <f t="shared" si="1"/>
        <v>1.0048084000392848E-5</v>
      </c>
      <c r="D104" s="16">
        <f t="shared" si="2"/>
        <v>1.7056521714213534E-2</v>
      </c>
      <c r="E104" s="16">
        <f t="shared" si="3"/>
        <v>3.6148026590525871E-4</v>
      </c>
      <c r="F104" s="16">
        <f t="shared" si="4"/>
        <v>4.7674801824287638E-4</v>
      </c>
      <c r="G104" s="16">
        <f t="shared" si="5"/>
        <v>5.3307874460627202E-4</v>
      </c>
      <c r="H104" s="16">
        <f t="shared" si="6"/>
        <v>1.0032213264884584E-4</v>
      </c>
      <c r="I104" s="16">
        <f t="shared" si="7"/>
        <v>1.2246786131744208E-4</v>
      </c>
      <c r="J104" s="16">
        <f t="shared" si="8"/>
        <v>3.4166107540049015E-4</v>
      </c>
      <c r="K104" s="16">
        <f t="shared" si="9"/>
        <v>5.323769234247802E-4</v>
      </c>
      <c r="L104" s="16">
        <f t="shared" si="10"/>
        <v>0</v>
      </c>
      <c r="M104" s="16">
        <f t="shared" si="11"/>
        <v>1.2515734548294909E-3</v>
      </c>
    </row>
    <row r="105" spans="1:13" x14ac:dyDescent="0.25">
      <c r="A105" t="s">
        <v>187</v>
      </c>
      <c r="B105" t="s">
        <v>188</v>
      </c>
      <c r="C105" s="16">
        <f t="shared" si="1"/>
        <v>9.5823208601688762E-13</v>
      </c>
      <c r="D105" s="16">
        <f t="shared" si="2"/>
        <v>4.5864968416377293E-10</v>
      </c>
      <c r="E105" s="16">
        <f t="shared" si="3"/>
        <v>2.1289496074498867E-11</v>
      </c>
      <c r="F105" s="16">
        <f t="shared" si="4"/>
        <v>6.0197374858561279E-11</v>
      </c>
      <c r="G105" s="16">
        <f t="shared" si="5"/>
        <v>2.7311881345842512E-11</v>
      </c>
      <c r="H105" s="16">
        <f t="shared" si="6"/>
        <v>5.1399276579502039E-12</v>
      </c>
      <c r="I105" s="16">
        <f t="shared" si="7"/>
        <v>6.2745471111430988E-12</v>
      </c>
      <c r="J105" s="16">
        <f t="shared" si="8"/>
        <v>2.2641917988658851E-11</v>
      </c>
      <c r="K105" s="16">
        <f t="shared" si="9"/>
        <v>9.4213650960174702E-11</v>
      </c>
      <c r="L105" s="16">
        <f t="shared" si="10"/>
        <v>0</v>
      </c>
      <c r="M105" s="16">
        <f t="shared" si="11"/>
        <v>6.7084260739748545E-11</v>
      </c>
    </row>
    <row r="106" spans="1:13" x14ac:dyDescent="0.25">
      <c r="A106" t="s">
        <v>189</v>
      </c>
      <c r="B106" t="s">
        <v>188</v>
      </c>
      <c r="C106" s="16">
        <f t="shared" si="1"/>
        <v>6.1427440574009827E-13</v>
      </c>
      <c r="D106" s="16">
        <f t="shared" si="2"/>
        <v>2.3133265183300834E-10</v>
      </c>
      <c r="E106" s="16">
        <f t="shared" si="3"/>
        <v>7.2392091219791272E-12</v>
      </c>
      <c r="F106" s="16">
        <f t="shared" si="4"/>
        <v>2.8583872116601495E-11</v>
      </c>
      <c r="G106" s="16">
        <f t="shared" si="5"/>
        <v>7.4673310358092449E-12</v>
      </c>
      <c r="H106" s="16">
        <f t="shared" si="6"/>
        <v>1.4053056556599467E-12</v>
      </c>
      <c r="I106" s="16">
        <f t="shared" si="7"/>
        <v>1.7155215265248786E-12</v>
      </c>
      <c r="J106" s="16">
        <f t="shared" si="8"/>
        <v>1.9243869833760347E-11</v>
      </c>
      <c r="K106" s="16">
        <f t="shared" si="9"/>
        <v>8.0439499765189485E-11</v>
      </c>
      <c r="L106" s="16">
        <f t="shared" si="10"/>
        <v>0</v>
      </c>
      <c r="M106" s="16">
        <f t="shared" si="11"/>
        <v>5.4855634294425754E-11</v>
      </c>
    </row>
    <row r="107" spans="1:13" x14ac:dyDescent="0.25">
      <c r="A107" t="s">
        <v>190</v>
      </c>
      <c r="B107" t="s">
        <v>188</v>
      </c>
      <c r="C107" s="16">
        <f t="shared" si="1"/>
        <v>3.4395768027678915E-13</v>
      </c>
      <c r="D107" s="16">
        <f t="shared" si="2"/>
        <v>2.273170323307647E-10</v>
      </c>
      <c r="E107" s="16">
        <f t="shared" si="3"/>
        <v>1.4050286952519743E-11</v>
      </c>
      <c r="F107" s="16">
        <f t="shared" si="4"/>
        <v>3.1613502741959768E-11</v>
      </c>
      <c r="G107" s="16">
        <f t="shared" si="5"/>
        <v>1.9844550310033257E-11</v>
      </c>
      <c r="H107" s="16">
        <f t="shared" si="6"/>
        <v>3.7346220022902551E-12</v>
      </c>
      <c r="I107" s="16">
        <f t="shared" si="7"/>
        <v>4.5590255846182184E-12</v>
      </c>
      <c r="J107" s="16">
        <f t="shared" si="8"/>
        <v>3.398048154898521E-12</v>
      </c>
      <c r="K107" s="16">
        <f t="shared" si="9"/>
        <v>1.3774151194985245E-11</v>
      </c>
      <c r="L107" s="16">
        <f t="shared" si="10"/>
        <v>0</v>
      </c>
      <c r="M107" s="16">
        <f t="shared" si="11"/>
        <v>1.2228626445322772E-11</v>
      </c>
    </row>
    <row r="108" spans="1:13" x14ac:dyDescent="0.25">
      <c r="A108" t="s">
        <v>191</v>
      </c>
      <c r="B108" t="s">
        <v>188</v>
      </c>
      <c r="C108" s="16">
        <f t="shared" si="1"/>
        <v>2.2556758931454723E-11</v>
      </c>
      <c r="D108" s="16">
        <f t="shared" si="2"/>
        <v>1.0064432226854977E-8</v>
      </c>
      <c r="E108" s="16">
        <f t="shared" si="3"/>
        <v>2.7875078648658628E-10</v>
      </c>
      <c r="F108" s="16">
        <f t="shared" si="4"/>
        <v>1.1679980118374561E-9</v>
      </c>
      <c r="G108" s="16">
        <f t="shared" si="5"/>
        <v>3.5731891644992477E-10</v>
      </c>
      <c r="H108" s="16">
        <f t="shared" si="6"/>
        <v>6.7245216765315857E-11</v>
      </c>
      <c r="I108" s="16">
        <f t="shared" si="7"/>
        <v>8.208934223818833E-11</v>
      </c>
      <c r="J108" s="16">
        <f t="shared" si="8"/>
        <v>1.0334353904620391E-9</v>
      </c>
      <c r="K108" s="16">
        <f t="shared" si="9"/>
        <v>7.4729060238175821E-10</v>
      </c>
      <c r="L108" s="16">
        <f t="shared" si="10"/>
        <v>0</v>
      </c>
      <c r="M108" s="16">
        <f t="shared" si="11"/>
        <v>2.2926532648117745E-9</v>
      </c>
    </row>
    <row r="109" spans="1:13" x14ac:dyDescent="0.25">
      <c r="A109" t="s">
        <v>192</v>
      </c>
      <c r="B109" t="s">
        <v>188</v>
      </c>
      <c r="C109" s="16">
        <f t="shared" si="1"/>
        <v>2.1632624054334573E-11</v>
      </c>
      <c r="D109" s="16">
        <f t="shared" si="2"/>
        <v>9.6229926765166325E-9</v>
      </c>
      <c r="E109" s="16">
        <f t="shared" si="3"/>
        <v>2.6946100822850702E-10</v>
      </c>
      <c r="F109" s="16">
        <f t="shared" si="4"/>
        <v>1.15166020302448E-9</v>
      </c>
      <c r="G109" s="16">
        <f t="shared" si="5"/>
        <v>3.4645931845841087E-10</v>
      </c>
      <c r="H109" s="16">
        <f t="shared" si="6"/>
        <v>6.5201507386089978E-11</v>
      </c>
      <c r="I109" s="16">
        <f t="shared" si="7"/>
        <v>7.9594491797715064E-11</v>
      </c>
      <c r="J109" s="16">
        <f t="shared" si="8"/>
        <v>3.1567404289423658E-10</v>
      </c>
      <c r="K109" s="16">
        <f t="shared" si="9"/>
        <v>7.1995425661773192E-10</v>
      </c>
      <c r="L109" s="16">
        <f t="shared" si="10"/>
        <v>0</v>
      </c>
      <c r="M109" s="16">
        <f t="shared" si="11"/>
        <v>2.2495227891390461E-9</v>
      </c>
    </row>
    <row r="110" spans="1:13" x14ac:dyDescent="0.25">
      <c r="A110" t="s">
        <v>193</v>
      </c>
      <c r="B110" t="s">
        <v>188</v>
      </c>
      <c r="C110" s="16">
        <f t="shared" si="1"/>
        <v>9.2413487712016651E-13</v>
      </c>
      <c r="D110" s="16">
        <f t="shared" si="2"/>
        <v>4.4143955033835186E-10</v>
      </c>
      <c r="E110" s="16">
        <f t="shared" si="3"/>
        <v>9.2897782580792191E-12</v>
      </c>
      <c r="F110" s="16">
        <f t="shared" si="4"/>
        <v>1.6337808812976238E-11</v>
      </c>
      <c r="G110" s="16">
        <f t="shared" si="5"/>
        <v>1.0859597991513811E-11</v>
      </c>
      <c r="H110" s="16">
        <f t="shared" si="6"/>
        <v>2.0437093792258663E-12</v>
      </c>
      <c r="I110" s="16">
        <f t="shared" si="7"/>
        <v>2.4948504404732517E-12</v>
      </c>
      <c r="J110" s="16">
        <f t="shared" si="8"/>
        <v>7.1776134756780344E-10</v>
      </c>
      <c r="K110" s="16">
        <f t="shared" si="9"/>
        <v>2.7336345764026497E-11</v>
      </c>
      <c r="L110" s="16">
        <f t="shared" si="10"/>
        <v>0</v>
      </c>
      <c r="M110" s="16">
        <f t="shared" si="11"/>
        <v>4.3130475672730334E-11</v>
      </c>
    </row>
    <row r="111" spans="1:13" x14ac:dyDescent="0.25">
      <c r="A111" t="s">
        <v>194</v>
      </c>
      <c r="B111" t="s">
        <v>195</v>
      </c>
      <c r="C111" s="16">
        <f t="shared" si="1"/>
        <v>1.1343073799930134E-4</v>
      </c>
      <c r="D111" s="16">
        <f t="shared" si="2"/>
        <v>1.9280459797634628</v>
      </c>
      <c r="E111" s="16">
        <f t="shared" si="3"/>
        <v>1.013637689434171E-3</v>
      </c>
      <c r="F111" s="16">
        <f t="shared" si="4"/>
        <v>2.0306628182655153E-4</v>
      </c>
      <c r="G111" s="16">
        <f t="shared" si="5"/>
        <v>1.8864376850529216E-3</v>
      </c>
      <c r="H111" s="16">
        <f t="shared" si="6"/>
        <v>3.5501594011864155E-4</v>
      </c>
      <c r="I111" s="16">
        <f t="shared" si="7"/>
        <v>4.3338435669141754E-4</v>
      </c>
      <c r="J111" s="16">
        <f t="shared" si="8"/>
        <v>8.9065427003882263E-4</v>
      </c>
      <c r="K111" s="16">
        <f t="shared" si="9"/>
        <v>2.790750739251648E-3</v>
      </c>
      <c r="L111" s="16">
        <f t="shared" si="10"/>
        <v>0</v>
      </c>
      <c r="M111" s="16">
        <f t="shared" si="11"/>
        <v>2.7187158784611771E-3</v>
      </c>
    </row>
    <row r="112" spans="1:13" x14ac:dyDescent="0.25">
      <c r="A112" t="s">
        <v>196</v>
      </c>
      <c r="B112" t="s">
        <v>197</v>
      </c>
      <c r="C112" s="16">
        <f t="shared" si="1"/>
        <v>4.3276784924986952E-3</v>
      </c>
      <c r="D112" s="16">
        <f t="shared" si="2"/>
        <v>8.8661066484393878</v>
      </c>
      <c r="E112" s="16">
        <f t="shared" si="3"/>
        <v>5.3007422789983404E-2</v>
      </c>
      <c r="F112" s="16">
        <f t="shared" si="4"/>
        <v>8.8362719939245202E-2</v>
      </c>
      <c r="G112" s="16">
        <f t="shared" si="5"/>
        <v>0.53332522729727405</v>
      </c>
      <c r="H112" s="16">
        <f t="shared" si="6"/>
        <v>0.10036851917142349</v>
      </c>
      <c r="I112" s="16">
        <f t="shared" si="7"/>
        <v>0.12252448748819866</v>
      </c>
      <c r="J112" s="16">
        <f t="shared" si="8"/>
        <v>0.41950571380042273</v>
      </c>
      <c r="K112" s="16">
        <f t="shared" si="9"/>
        <v>0.14049530550490733</v>
      </c>
      <c r="L112" s="16">
        <f t="shared" si="10"/>
        <v>0</v>
      </c>
      <c r="M112" s="16">
        <f t="shared" si="11"/>
        <v>0.6648228737153683</v>
      </c>
    </row>
    <row r="113" spans="1:13" x14ac:dyDescent="0.25">
      <c r="A113" t="s">
        <v>198</v>
      </c>
      <c r="B113" t="s">
        <v>199</v>
      </c>
      <c r="C113" s="16">
        <f t="shared" si="1"/>
        <v>2.1469968482763367E-8</v>
      </c>
      <c r="D113" s="16">
        <f t="shared" si="2"/>
        <v>4.1451037791457445E-6</v>
      </c>
      <c r="E113" s="16">
        <f t="shared" si="3"/>
        <v>1.4269303644506763E-7</v>
      </c>
      <c r="F113" s="16">
        <f t="shared" si="4"/>
        <v>3.2619444088283384E-8</v>
      </c>
      <c r="G113" s="16">
        <f t="shared" si="5"/>
        <v>6.4543615946612607E-8</v>
      </c>
      <c r="H113" s="16">
        <f t="shared" si="6"/>
        <v>1.2146710530382769E-8</v>
      </c>
      <c r="I113" s="16">
        <f t="shared" si="7"/>
        <v>1.4828050614762767E-8</v>
      </c>
      <c r="J113" s="16">
        <f t="shared" si="8"/>
        <v>4.5172719288871008E-8</v>
      </c>
      <c r="K113" s="16">
        <f t="shared" si="9"/>
        <v>3.8135251161231822E-7</v>
      </c>
      <c r="L113" s="16">
        <f t="shared" si="10"/>
        <v>0</v>
      </c>
      <c r="M113" s="16">
        <f t="shared" si="11"/>
        <v>1.3163822323919413E-6</v>
      </c>
    </row>
    <row r="114" spans="1:13" x14ac:dyDescent="0.25">
      <c r="A114" t="s">
        <v>200</v>
      </c>
      <c r="B114" t="s">
        <v>69</v>
      </c>
      <c r="C114" s="16">
        <f t="shared" si="1"/>
        <v>5.5577515158197746E-10</v>
      </c>
      <c r="D114" s="16">
        <f t="shared" si="2"/>
        <v>1.4768792101495587E-7</v>
      </c>
      <c r="E114" s="16">
        <f t="shared" si="3"/>
        <v>3.6775299314966796E-9</v>
      </c>
      <c r="F114" s="16">
        <f t="shared" si="4"/>
        <v>4.2033134595976389E-10</v>
      </c>
      <c r="G114" s="16">
        <f t="shared" si="5"/>
        <v>3.4758268239601601E-10</v>
      </c>
      <c r="H114" s="16">
        <f t="shared" si="6"/>
        <v>6.5412917552227051E-11</v>
      </c>
      <c r="I114" s="16">
        <f t="shared" si="7"/>
        <v>7.9852569952793744E-11</v>
      </c>
      <c r="J114" s="16">
        <f t="shared" si="8"/>
        <v>2.485857502577667E-10</v>
      </c>
      <c r="K114" s="16">
        <f t="shared" si="9"/>
        <v>1.0298638245303578E-8</v>
      </c>
      <c r="L114" s="16">
        <f t="shared" si="10"/>
        <v>0</v>
      </c>
      <c r="M114" s="16">
        <f t="shared" si="11"/>
        <v>7.8355810008676736E-10</v>
      </c>
    </row>
    <row r="115" spans="1:13" x14ac:dyDescent="0.25">
      <c r="A115" t="s">
        <v>201</v>
      </c>
      <c r="B115" t="s">
        <v>202</v>
      </c>
      <c r="C115" s="16">
        <f t="shared" si="1"/>
        <v>9.3503177624479931E-11</v>
      </c>
      <c r="D115" s="16">
        <f t="shared" si="2"/>
        <v>3.2662739994996592E-8</v>
      </c>
      <c r="E115" s="16">
        <f t="shared" si="3"/>
        <v>1.6482416384630214E-9</v>
      </c>
      <c r="F115" s="16">
        <f t="shared" si="4"/>
        <v>2.7699426242989736E-9</v>
      </c>
      <c r="G115" s="16">
        <f t="shared" si="5"/>
        <v>2.9930548791483182E-9</v>
      </c>
      <c r="H115" s="16">
        <f t="shared" si="6"/>
        <v>5.63274472391447E-10</v>
      </c>
      <c r="I115" s="16">
        <f t="shared" si="7"/>
        <v>6.8761516673444349E-10</v>
      </c>
      <c r="J115" s="16">
        <f t="shared" si="8"/>
        <v>1.5716722439956997E-9</v>
      </c>
      <c r="K115" s="16">
        <f t="shared" si="9"/>
        <v>2.3921101337961724E-9</v>
      </c>
      <c r="L115" s="16">
        <f t="shared" si="10"/>
        <v>0</v>
      </c>
      <c r="M115" s="16">
        <f t="shared" si="11"/>
        <v>5.5582657328686035E-9</v>
      </c>
    </row>
    <row r="116" spans="1:13" x14ac:dyDescent="0.25">
      <c r="A116" t="s">
        <v>203</v>
      </c>
      <c r="B116" t="s">
        <v>204</v>
      </c>
      <c r="C116" s="16">
        <f t="shared" si="1"/>
        <v>3.7210803528069782E-6</v>
      </c>
      <c r="D116" s="16">
        <f t="shared" si="2"/>
        <v>5.6556835340994564E-3</v>
      </c>
      <c r="E116" s="16">
        <f t="shared" si="3"/>
        <v>1.0675010519075931E-4</v>
      </c>
      <c r="F116" s="16">
        <f t="shared" si="4"/>
        <v>1.3124981368123332E-4</v>
      </c>
      <c r="G116" s="16">
        <f t="shared" si="5"/>
        <v>1.7651191614825865E-4</v>
      </c>
      <c r="H116" s="16">
        <f t="shared" si="6"/>
        <v>3.3218454206060288E-5</v>
      </c>
      <c r="I116" s="16">
        <f t="shared" si="7"/>
        <v>4.0551301447382008E-5</v>
      </c>
      <c r="J116" s="16">
        <f t="shared" si="8"/>
        <v>2.5929185345030347E-4</v>
      </c>
      <c r="K116" s="16">
        <f t="shared" si="9"/>
        <v>1.9946490653053228E-4</v>
      </c>
      <c r="L116" s="16">
        <f t="shared" si="10"/>
        <v>0</v>
      </c>
      <c r="M116" s="16">
        <f t="shared" si="11"/>
        <v>2.4747081748546242E-4</v>
      </c>
    </row>
    <row r="117" spans="1:13" x14ac:dyDescent="0.25">
      <c r="A117" t="s">
        <v>205</v>
      </c>
      <c r="B117" t="s">
        <v>206</v>
      </c>
      <c r="C117" s="16">
        <f t="shared" si="1"/>
        <v>2.4972517417452432E-3</v>
      </c>
      <c r="D117" s="16">
        <f t="shared" si="2"/>
        <v>0.44988903437274969</v>
      </c>
      <c r="E117" s="16">
        <f t="shared" si="3"/>
        <v>1.0376184555556318E-2</v>
      </c>
      <c r="F117" s="16">
        <f t="shared" si="4"/>
        <v>1.365928365502337E-2</v>
      </c>
      <c r="G117" s="16">
        <f t="shared" si="5"/>
        <v>5.3648644543206718E-3</v>
      </c>
      <c r="H117" s="16">
        <f t="shared" si="6"/>
        <v>1.0096344093159402E-3</v>
      </c>
      <c r="I117" s="16">
        <f t="shared" si="7"/>
        <v>1.2325073596094911E-3</v>
      </c>
      <c r="J117" s="16">
        <f t="shared" si="8"/>
        <v>2.2266351757503247E-3</v>
      </c>
      <c r="K117" s="16">
        <f t="shared" si="9"/>
        <v>2.2563635642370069E-2</v>
      </c>
      <c r="L117" s="16">
        <f t="shared" si="10"/>
        <v>0</v>
      </c>
      <c r="M117" s="16">
        <f t="shared" si="11"/>
        <v>3.9982556780892312E-2</v>
      </c>
    </row>
    <row r="119" spans="1:13" ht="18" thickBot="1" x14ac:dyDescent="0.35">
      <c r="A119" s="4" t="s">
        <v>79</v>
      </c>
      <c r="B119" s="4"/>
      <c r="C119" s="13"/>
      <c r="D119" s="13"/>
      <c r="E119" s="13"/>
    </row>
    <row r="120" spans="1:13" ht="16.5" thickTop="1" x14ac:dyDescent="0.25">
      <c r="A120" s="3" t="s">
        <v>217</v>
      </c>
      <c r="B120" s="13"/>
      <c r="C120" s="13"/>
      <c r="D120" s="13"/>
      <c r="E120" s="13"/>
    </row>
    <row r="121" spans="1:13" x14ac:dyDescent="0.25">
      <c r="F121" s="38"/>
      <c r="G121" s="38"/>
      <c r="H121" s="38"/>
      <c r="I121" s="38"/>
    </row>
    <row r="122" spans="1:13" x14ac:dyDescent="0.25">
      <c r="A122" s="5" t="s">
        <v>57</v>
      </c>
      <c r="B122" s="5" t="s">
        <v>58</v>
      </c>
      <c r="C122" s="5" t="s">
        <v>80</v>
      </c>
      <c r="D122" s="5" t="s">
        <v>81</v>
      </c>
      <c r="E122" s="37" t="s">
        <v>82</v>
      </c>
      <c r="F122" s="39"/>
      <c r="G122" s="39"/>
      <c r="H122" s="39"/>
      <c r="I122" s="38"/>
    </row>
    <row r="123" spans="1:13" x14ac:dyDescent="0.25">
      <c r="A123" t="s">
        <v>172</v>
      </c>
      <c r="B123" t="s">
        <v>173</v>
      </c>
      <c r="C123" s="5">
        <f>[9]Impacts!E3</f>
        <v>0.10256459422259295</v>
      </c>
      <c r="D123" s="5">
        <f>[10]Impacts!E3</f>
        <v>0.58749405299425073</v>
      </c>
      <c r="E123" s="37">
        <f>[11]Impacts!E3</f>
        <v>1.0387114286396215E-2</v>
      </c>
      <c r="F123" s="39"/>
      <c r="G123" s="39"/>
      <c r="H123" s="39"/>
      <c r="I123" s="38"/>
    </row>
    <row r="124" spans="1:13" x14ac:dyDescent="0.25">
      <c r="A124" t="s">
        <v>65</v>
      </c>
      <c r="B124" t="s">
        <v>66</v>
      </c>
      <c r="C124" s="5">
        <f>[9]Impacts!E4</f>
        <v>15.649345602934506</v>
      </c>
      <c r="D124" s="5">
        <f>[10]Impacts!E4</f>
        <v>8.6332815325184775</v>
      </c>
      <c r="E124" s="37">
        <f>[11]Impacts!E4</f>
        <v>1.5951529423415995</v>
      </c>
      <c r="F124" s="39"/>
      <c r="G124" s="39"/>
      <c r="H124" s="39"/>
      <c r="I124" s="38"/>
    </row>
    <row r="125" spans="1:13" x14ac:dyDescent="0.25">
      <c r="A125" t="s">
        <v>174</v>
      </c>
      <c r="B125" t="s">
        <v>66</v>
      </c>
      <c r="C125" s="5">
        <f>[9]Impacts!E5</f>
        <v>2.296250143372287E-2</v>
      </c>
      <c r="D125" s="5">
        <f>[10]Impacts!E5</f>
        <v>3.4777896412578509E-2</v>
      </c>
      <c r="E125" s="37">
        <f>[11]Impacts!E5</f>
        <v>2.1393481516616131E-3</v>
      </c>
      <c r="F125" s="39"/>
      <c r="G125" s="39"/>
      <c r="H125" s="39"/>
      <c r="I125" s="38"/>
    </row>
    <row r="126" spans="1:13" x14ac:dyDescent="0.25">
      <c r="A126" t="s">
        <v>175</v>
      </c>
      <c r="B126" t="s">
        <v>66</v>
      </c>
      <c r="C126" s="5">
        <f>[9]Impacts!E6</f>
        <v>15.584381897372543</v>
      </c>
      <c r="D126" s="5">
        <f>[10]Impacts!E6</f>
        <v>8.5832331748444908</v>
      </c>
      <c r="E126" s="37">
        <f>[11]Impacts!E6</f>
        <v>1.5906360336957315</v>
      </c>
      <c r="F126" s="39"/>
      <c r="G126" s="39"/>
      <c r="H126" s="39"/>
      <c r="I126" s="38"/>
    </row>
    <row r="127" spans="1:13" x14ac:dyDescent="0.25">
      <c r="A127" t="s">
        <v>176</v>
      </c>
      <c r="B127" t="s">
        <v>66</v>
      </c>
      <c r="C127" s="5">
        <f>[9]Impacts!E7</f>
        <v>4.2001204128241668E-2</v>
      </c>
      <c r="D127" s="5">
        <f>[10]Impacts!E7</f>
        <v>1.5270461261407664E-2</v>
      </c>
      <c r="E127" s="37">
        <f>[11]Impacts!E7</f>
        <v>2.3775604942064292E-3</v>
      </c>
      <c r="F127" s="39"/>
      <c r="G127" s="39"/>
      <c r="H127" s="39"/>
      <c r="I127" s="38"/>
    </row>
    <row r="128" spans="1:13" x14ac:dyDescent="0.25">
      <c r="A128" t="s">
        <v>177</v>
      </c>
      <c r="B128" t="s">
        <v>178</v>
      </c>
      <c r="C128" s="5">
        <f>[9]Impacts!E8</f>
        <v>55.898317834545473</v>
      </c>
      <c r="D128" s="5">
        <f>[10]Impacts!E8</f>
        <v>673.56977155388222</v>
      </c>
      <c r="E128" s="37">
        <f>[11]Impacts!E8</f>
        <v>10.628984234907106</v>
      </c>
      <c r="F128" s="39"/>
      <c r="G128" s="39"/>
      <c r="H128" s="39"/>
      <c r="I128" s="38"/>
    </row>
    <row r="129" spans="1:9" x14ac:dyDescent="0.25">
      <c r="A129" t="s">
        <v>179</v>
      </c>
      <c r="B129" t="s">
        <v>178</v>
      </c>
      <c r="C129" s="5">
        <f>[9]Impacts!E9</f>
        <v>51.197682030164493</v>
      </c>
      <c r="D129" s="5">
        <f>[10]Impacts!E9</f>
        <v>670.77161273677177</v>
      </c>
      <c r="E129" s="37">
        <f>[11]Impacts!E9</f>
        <v>10.206532798813759</v>
      </c>
      <c r="F129" s="39"/>
      <c r="G129" s="39"/>
      <c r="H129" s="39"/>
      <c r="I129" s="38"/>
    </row>
    <row r="130" spans="1:9" x14ac:dyDescent="0.25">
      <c r="A130" t="s">
        <v>180</v>
      </c>
      <c r="B130" t="s">
        <v>178</v>
      </c>
      <c r="C130" s="5">
        <f>[9]Impacts!E10</f>
        <v>4.7006358043810437</v>
      </c>
      <c r="D130" s="5">
        <f>[10]Impacts!E10</f>
        <v>2.7981588171104486</v>
      </c>
      <c r="E130" s="37">
        <f>[11]Impacts!E10</f>
        <v>0.42245143609335811</v>
      </c>
      <c r="F130" s="39"/>
      <c r="G130" s="39"/>
      <c r="H130" s="39"/>
      <c r="I130" s="38"/>
    </row>
    <row r="131" spans="1:9" x14ac:dyDescent="0.25">
      <c r="A131" t="s">
        <v>181</v>
      </c>
      <c r="B131" t="s">
        <v>182</v>
      </c>
      <c r="C131" s="5">
        <f>[9]Impacts!E11</f>
        <v>147.06269699914318</v>
      </c>
      <c r="D131" s="5">
        <f>[10]Impacts!E11</f>
        <v>99.3153029238551</v>
      </c>
      <c r="E131" s="37">
        <f>[11]Impacts!E11</f>
        <v>47.393268025670253</v>
      </c>
      <c r="F131" s="39"/>
      <c r="G131" s="39"/>
      <c r="H131" s="39"/>
      <c r="I131" s="38"/>
    </row>
    <row r="132" spans="1:9" x14ac:dyDescent="0.25">
      <c r="A132" t="s">
        <v>183</v>
      </c>
      <c r="B132" t="s">
        <v>67</v>
      </c>
      <c r="C132" s="5">
        <f>[9]Impacts!E12</f>
        <v>5.1086783277864579E-3</v>
      </c>
      <c r="D132" s="5">
        <f>[10]Impacts!E12</f>
        <v>4.6086891712159871E-2</v>
      </c>
      <c r="E132" s="37">
        <f>[11]Impacts!E12</f>
        <v>1.9426190290390743E-3</v>
      </c>
      <c r="F132" s="39"/>
      <c r="G132" s="39"/>
      <c r="H132" s="39"/>
      <c r="I132" s="38"/>
    </row>
    <row r="133" spans="1:9" x14ac:dyDescent="0.25">
      <c r="A133" t="s">
        <v>184</v>
      </c>
      <c r="B133" t="s">
        <v>68</v>
      </c>
      <c r="C133" s="5">
        <f>[9]Impacts!E13</f>
        <v>1.6550218388261928E-2</v>
      </c>
      <c r="D133" s="5">
        <f>[10]Impacts!E13</f>
        <v>2.9407779776040751E-2</v>
      </c>
      <c r="E133" s="37">
        <f>[11]Impacts!E13</f>
        <v>2.1128376567114862E-3</v>
      </c>
      <c r="F133" s="39"/>
      <c r="G133" s="39"/>
      <c r="H133" s="39"/>
      <c r="I133" s="38"/>
    </row>
    <row r="134" spans="1:9" x14ac:dyDescent="0.25">
      <c r="A134" t="s">
        <v>185</v>
      </c>
      <c r="B134" t="s">
        <v>186</v>
      </c>
      <c r="C134" s="5">
        <f>[9]Impacts!E14</f>
        <v>0.17195032103977675</v>
      </c>
      <c r="D134" s="5">
        <f>[10]Impacts!E14</f>
        <v>0.40761470272968248</v>
      </c>
      <c r="E134" s="37">
        <f>[11]Impacts!E14</f>
        <v>1.9878825438980965E-2</v>
      </c>
      <c r="F134" s="39"/>
      <c r="G134" s="39"/>
      <c r="H134" s="39"/>
      <c r="I134" s="38"/>
    </row>
    <row r="135" spans="1:9" x14ac:dyDescent="0.25">
      <c r="A135" t="s">
        <v>187</v>
      </c>
      <c r="B135" t="s">
        <v>188</v>
      </c>
      <c r="C135" s="5">
        <f>[9]Impacts!E15</f>
        <v>1.9198158600519762E-8</v>
      </c>
      <c r="D135" s="5">
        <f>[10]Impacts!E15</f>
        <v>8.8473037800483222E-8</v>
      </c>
      <c r="E135" s="37">
        <f>[11]Impacts!E15</f>
        <v>3.2093403427277129E-8</v>
      </c>
      <c r="F135" s="39"/>
      <c r="G135" s="39"/>
      <c r="H135" s="39"/>
      <c r="I135" s="38"/>
    </row>
    <row r="136" spans="1:9" x14ac:dyDescent="0.25">
      <c r="A136" t="s">
        <v>189</v>
      </c>
      <c r="B136" t="s">
        <v>188</v>
      </c>
      <c r="C136" s="5">
        <f>[9]Impacts!E16</f>
        <v>1.2081824506844722E-8</v>
      </c>
      <c r="D136" s="5">
        <f>[10]Impacts!E16</f>
        <v>8.5761408009740092E-8</v>
      </c>
      <c r="E136" s="37">
        <f>[11]Impacts!E16</f>
        <v>2.5350370922459416E-10</v>
      </c>
      <c r="F136" s="39"/>
      <c r="G136" s="39"/>
      <c r="H136" s="39"/>
      <c r="I136" s="38"/>
    </row>
    <row r="137" spans="1:9" x14ac:dyDescent="0.25">
      <c r="A137" t="s">
        <v>190</v>
      </c>
      <c r="B137" t="s">
        <v>188</v>
      </c>
      <c r="C137" s="5">
        <f>[9]Impacts!E17</f>
        <v>7.1163340936750309E-9</v>
      </c>
      <c r="D137" s="5">
        <f>[10]Impacts!E17</f>
        <v>2.7116297907431765E-9</v>
      </c>
      <c r="E137" s="37">
        <f>[11]Impacts!E17</f>
        <v>3.1839899718052531E-8</v>
      </c>
      <c r="F137" s="39"/>
      <c r="G137" s="39"/>
      <c r="H137" s="39"/>
      <c r="I137" s="38"/>
    </row>
    <row r="138" spans="1:9" x14ac:dyDescent="0.25">
      <c r="A138" t="s">
        <v>191</v>
      </c>
      <c r="B138" t="s">
        <v>188</v>
      </c>
      <c r="C138" s="5">
        <f>[9]Impacts!E18</f>
        <v>3.1377945708623858E-7</v>
      </c>
      <c r="D138" s="5">
        <f>[10]Impacts!E18</f>
        <v>7.7077423391989387E-6</v>
      </c>
      <c r="E138" s="37">
        <f>[11]Impacts!E18</f>
        <v>1.1619597425237926E-8</v>
      </c>
      <c r="F138" s="39"/>
      <c r="G138" s="39"/>
      <c r="H138" s="39"/>
      <c r="I138" s="38"/>
    </row>
    <row r="139" spans="1:9" x14ac:dyDescent="0.25">
      <c r="A139" t="s">
        <v>192</v>
      </c>
      <c r="B139" t="s">
        <v>188</v>
      </c>
      <c r="C139" s="5">
        <f>[9]Impacts!E19</f>
        <v>3.0813457813131947E-7</v>
      </c>
      <c r="D139" s="5">
        <f>[10]Impacts!E19</f>
        <v>7.3363457626915433E-6</v>
      </c>
      <c r="E139" s="37">
        <f>[11]Impacts!E19</f>
        <v>1.0344486538117389E-8</v>
      </c>
      <c r="F139" s="39"/>
      <c r="G139" s="39"/>
      <c r="H139" s="39"/>
      <c r="I139" s="38"/>
    </row>
    <row r="140" spans="1:9" x14ac:dyDescent="0.25">
      <c r="A140" t="s">
        <v>193</v>
      </c>
      <c r="B140" t="s">
        <v>188</v>
      </c>
      <c r="C140" s="5">
        <f>[9]Impacts!E20</f>
        <v>5.6448789549192999E-9</v>
      </c>
      <c r="D140" s="5">
        <f>[10]Impacts!E20</f>
        <v>3.7139657650739182E-7</v>
      </c>
      <c r="E140" s="37">
        <f>[11]Impacts!E20</f>
        <v>1.2751108871205295E-9</v>
      </c>
      <c r="F140" s="39"/>
      <c r="G140" s="39"/>
      <c r="H140" s="39"/>
      <c r="I140" s="38"/>
    </row>
    <row r="141" spans="1:9" x14ac:dyDescent="0.25">
      <c r="A141" t="s">
        <v>194</v>
      </c>
      <c r="B141" t="s">
        <v>195</v>
      </c>
      <c r="C141" s="5">
        <f>[9]Impacts!E21</f>
        <v>0.36398485859563218</v>
      </c>
      <c r="D141" s="5">
        <f>[10]Impacts!E21</f>
        <v>0.85099835872855734</v>
      </c>
      <c r="E141" s="37">
        <f>[11]Impacts!E21</f>
        <v>0.14619455173329166</v>
      </c>
      <c r="F141" s="38"/>
      <c r="G141" s="38"/>
      <c r="H141" s="38"/>
      <c r="I141" s="38"/>
    </row>
    <row r="142" spans="1:9" x14ac:dyDescent="0.25">
      <c r="A142" t="s">
        <v>196</v>
      </c>
      <c r="B142" t="s">
        <v>197</v>
      </c>
      <c r="C142" s="5">
        <f>[9]Impacts!E22</f>
        <v>28.259447480174323</v>
      </c>
      <c r="D142" s="5">
        <f>[10]Impacts!E22</f>
        <v>192.42331380779376</v>
      </c>
      <c r="E142" s="37">
        <f>[11]Impacts!E22</f>
        <v>7.9652801670098814</v>
      </c>
      <c r="F142" s="38"/>
      <c r="G142" s="38"/>
      <c r="H142" s="38"/>
      <c r="I142" s="38"/>
    </row>
    <row r="143" spans="1:9" x14ac:dyDescent="0.25">
      <c r="A143" t="s">
        <v>198</v>
      </c>
      <c r="B143" t="s">
        <v>199</v>
      </c>
      <c r="C143" s="5">
        <f>[9]Impacts!E23</f>
        <v>6.3368787334779899E-5</v>
      </c>
      <c r="D143" s="5">
        <f>[10]Impacts!E23</f>
        <v>7.4891235295090602E-3</v>
      </c>
      <c r="E143" s="37">
        <f>[11]Impacts!E23</f>
        <v>1.3033123294273286E-6</v>
      </c>
      <c r="F143" s="38"/>
      <c r="G143" s="38"/>
      <c r="H143" s="38"/>
      <c r="I143" s="38"/>
    </row>
    <row r="144" spans="1:9" x14ac:dyDescent="0.25">
      <c r="A144" t="s">
        <v>200</v>
      </c>
      <c r="B144" t="s">
        <v>69</v>
      </c>
      <c r="C144" s="5">
        <f>[9]Impacts!E24</f>
        <v>4.0538090296951861E-7</v>
      </c>
      <c r="D144" s="5">
        <f>[10]Impacts!E24</f>
        <v>3.4442580926455439E-7</v>
      </c>
      <c r="E144" s="37">
        <f>[11]Impacts!E24</f>
        <v>1.3383850048950764E-7</v>
      </c>
      <c r="F144" s="38"/>
      <c r="G144" s="38"/>
      <c r="H144" s="38"/>
      <c r="I144" s="38"/>
    </row>
    <row r="145" spans="1:5" x14ac:dyDescent="0.25">
      <c r="A145" t="s">
        <v>201</v>
      </c>
      <c r="B145" t="s">
        <v>202</v>
      </c>
      <c r="C145" s="5">
        <f>[9]Impacts!E25</f>
        <v>1.2290758391382039E-6</v>
      </c>
      <c r="D145" s="5">
        <f>[10]Impacts!E25</f>
        <v>1.3836141551185452E-6</v>
      </c>
      <c r="E145" s="5">
        <f>[11]Impacts!E25</f>
        <v>1.8094930355221074E-7</v>
      </c>
    </row>
    <row r="146" spans="1:5" x14ac:dyDescent="0.25">
      <c r="A146" t="s">
        <v>203</v>
      </c>
      <c r="B146" t="s">
        <v>204</v>
      </c>
      <c r="C146" s="5">
        <f>[9]Impacts!E26</f>
        <v>5.3792338378019784E-2</v>
      </c>
      <c r="D146" s="5">
        <f>[10]Impacts!E26</f>
        <v>0.11589553837849334</v>
      </c>
      <c r="E146" s="5">
        <f>[11]Impacts!E26</f>
        <v>1.8782231899980465E-2</v>
      </c>
    </row>
    <row r="147" spans="1:5" x14ac:dyDescent="0.25">
      <c r="A147" t="s">
        <v>205</v>
      </c>
      <c r="B147" t="s">
        <v>206</v>
      </c>
      <c r="C147" s="5">
        <f>[9]Impacts!E27</f>
        <v>4.3160200602750329</v>
      </c>
      <c r="D147" s="5">
        <f>[10]Impacts!E27</f>
        <v>7.020254666086065</v>
      </c>
      <c r="E147" s="5">
        <f>[11]Impacts!E27</f>
        <v>0.37569519824570369</v>
      </c>
    </row>
  </sheetData>
  <mergeCells count="1">
    <mergeCell ref="D13:E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6E579-2483-0940-A0C2-EFC630F8108B}">
  <dimension ref="A1:AP175"/>
  <sheetViews>
    <sheetView zoomScale="79" zoomScaleNormal="79" workbookViewId="0">
      <selection activeCell="K152" sqref="I150:K152"/>
    </sheetView>
  </sheetViews>
  <sheetFormatPr defaultColWidth="10.875" defaultRowHeight="15.75" x14ac:dyDescent="0.25"/>
  <cols>
    <col min="1" max="1" width="19.5" style="1" customWidth="1"/>
    <col min="2" max="2" width="14.5" style="1" customWidth="1"/>
    <col min="3" max="3" width="21" style="1" customWidth="1"/>
    <col min="4" max="4" width="15.125" style="1" customWidth="1"/>
    <col min="5" max="5" width="10.875" style="1" customWidth="1"/>
    <col min="6" max="6" width="15" style="1" customWidth="1"/>
    <col min="7" max="7" width="15.375" style="1" customWidth="1"/>
    <col min="8" max="8" width="10.875" style="1"/>
    <col min="9" max="9" width="12.375" style="1" customWidth="1"/>
    <col min="10" max="10" width="18.875" style="1" customWidth="1"/>
    <col min="11" max="15" width="10.875" style="1"/>
    <col min="16" max="16" width="10.875" style="1" customWidth="1"/>
    <col min="17" max="30" width="10.875" style="1"/>
    <col min="31" max="31" width="11.625" style="1" bestFit="1" customWidth="1"/>
    <col min="32" max="16384" width="10.875" style="1"/>
  </cols>
  <sheetData>
    <row r="1" spans="1:42" ht="20.25" thickBot="1" x14ac:dyDescent="0.35">
      <c r="A1" s="2" t="s">
        <v>218</v>
      </c>
      <c r="B1" s="2"/>
      <c r="C1" s="2"/>
      <c r="D1" s="2"/>
      <c r="E1" s="2"/>
      <c r="F1" s="2"/>
      <c r="G1" s="2"/>
      <c r="H1" s="2"/>
    </row>
    <row r="2" spans="1:42" ht="16.5" thickTop="1" x14ac:dyDescent="0.25">
      <c r="A2" s="3"/>
    </row>
    <row r="3" spans="1:42" x14ac:dyDescent="0.25">
      <c r="A3" s="3"/>
    </row>
    <row r="5" spans="1:42" ht="18" thickBot="1" x14ac:dyDescent="0.35">
      <c r="A5" s="4" t="s">
        <v>1</v>
      </c>
      <c r="B5" s="4"/>
      <c r="C5" s="4"/>
      <c r="D5" s="4"/>
      <c r="J5" s="7" t="s">
        <v>2</v>
      </c>
      <c r="L5" s="1" t="s">
        <v>3</v>
      </c>
      <c r="P5" s="7" t="s">
        <v>4</v>
      </c>
      <c r="U5" s="7" t="s">
        <v>2</v>
      </c>
      <c r="W5" s="7" t="s">
        <v>4</v>
      </c>
      <c r="AA5" s="7" t="s">
        <v>5</v>
      </c>
      <c r="AE5" s="7" t="s">
        <v>5</v>
      </c>
      <c r="AG5" s="7" t="s">
        <v>5</v>
      </c>
    </row>
    <row r="6" spans="1:42" ht="16.5" thickTop="1" x14ac:dyDescent="0.25">
      <c r="J6" s="7">
        <f>'Input data from lab'!B18/'Input data from lab'!B17*G11</f>
        <v>2</v>
      </c>
      <c r="L6" s="1">
        <f>G11+J6-M13</f>
        <v>1.0850000000000026E-2</v>
      </c>
      <c r="P6" s="7">
        <f>M13-R13-R18</f>
        <v>0.2579800000000001</v>
      </c>
      <c r="U6" s="7">
        <f>'Input data from lab'!B35/'Input data from lab'!B34*R18</f>
        <v>0.49766000000000005</v>
      </c>
      <c r="W6" s="7">
        <f>U6+R18-X22-X18</f>
        <v>2.3679999999999979E-2</v>
      </c>
      <c r="AA6" s="7">
        <f>'Input data from lab'!B62/'Input data from lab'!B61*(R13+X22)</f>
        <v>3.7079490364481673</v>
      </c>
      <c r="AE6" s="9">
        <f>0.64/0.36*X18</f>
        <v>0.62865777777777787</v>
      </c>
      <c r="AG6" s="7">
        <f>'Input data from lab'!B71/'Input data from lab'!B70*AD13</f>
        <v>2.8601335050360333</v>
      </c>
      <c r="AL6" s="1" t="s">
        <v>6</v>
      </c>
      <c r="AN6" s="7" t="s">
        <v>5</v>
      </c>
    </row>
    <row r="7" spans="1:42" x14ac:dyDescent="0.25">
      <c r="AL7" s="1">
        <f>'Input data from lab'!B109/'Input data from lab'!B108*'Direct Recycling LFP_full recov'!AJ13</f>
        <v>2.2440799859569479E-2</v>
      </c>
      <c r="AN7" s="1">
        <f>'Input data from lab'!B110/'Input data from lab'!B108*'Direct Recycling LFP_full recov'!AJ13</f>
        <v>9.9982833111682115E-2</v>
      </c>
    </row>
    <row r="8" spans="1:42" ht="15.95" customHeight="1" x14ac:dyDescent="0.25"/>
    <row r="9" spans="1:42" ht="15.95" customHeight="1" x14ac:dyDescent="0.25"/>
    <row r="10" spans="1:42" x14ac:dyDescent="0.25">
      <c r="G10" s="6" t="s">
        <v>7</v>
      </c>
    </row>
    <row r="11" spans="1:42" x14ac:dyDescent="0.25">
      <c r="G11" s="6">
        <f>'Input data from lab'!C8/'Input data from lab'!B5*B16</f>
        <v>1.2714799999999999</v>
      </c>
    </row>
    <row r="12" spans="1:42" x14ac:dyDescent="0.25">
      <c r="M12" s="7" t="s">
        <v>7</v>
      </c>
      <c r="R12" s="7" t="s">
        <v>8</v>
      </c>
      <c r="AD12" s="7" t="s">
        <v>8</v>
      </c>
      <c r="AJ12" s="7" t="s">
        <v>9</v>
      </c>
      <c r="AP12" s="1" t="s">
        <v>10</v>
      </c>
    </row>
    <row r="13" spans="1:42" x14ac:dyDescent="0.25">
      <c r="D13" s="42"/>
      <c r="E13" s="42"/>
      <c r="F13"/>
      <c r="M13" s="7">
        <f>'Input data from lab'!C20/'Input data from lab'!B17*G11</f>
        <v>3.2606299999999999</v>
      </c>
      <c r="R13" s="7">
        <f>'Input data from lab'!C28/'Input data from lab'!B26*M13</f>
        <v>2.6602899999999998</v>
      </c>
      <c r="AD13" s="7">
        <f>'Input data from lab'!C63/'Input data from lab'!B61*(R13+X22)</f>
        <v>1.4450824534194557</v>
      </c>
      <c r="AJ13" s="7">
        <f>'Input data from lab'!C73/'Input data from lab'!B70*AD13</f>
        <v>0.96978283321907621</v>
      </c>
      <c r="AP13" s="1">
        <f>'Input data from lab'!C113/'Input data from lab'!B108*'Direct Recycling LFP_full recov'!AJ13</f>
        <v>0.94085721808620304</v>
      </c>
    </row>
    <row r="14" spans="1:42" x14ac:dyDescent="0.25">
      <c r="D14" s="42"/>
      <c r="E14" s="42"/>
    </row>
    <row r="15" spans="1:42" x14ac:dyDescent="0.25">
      <c r="B15" s="6" t="s">
        <v>11</v>
      </c>
      <c r="D15" s="42"/>
      <c r="E15" s="42"/>
    </row>
    <row r="16" spans="1:42" x14ac:dyDescent="0.25">
      <c r="B16" s="9">
        <f>'Input data from lab'!B5</f>
        <v>3.2375400000000001</v>
      </c>
      <c r="D16" s="42"/>
      <c r="E16" s="42"/>
    </row>
    <row r="17" spans="2:39" x14ac:dyDescent="0.25">
      <c r="R17" s="7" t="s">
        <v>12</v>
      </c>
      <c r="X17" s="7" t="s">
        <v>12</v>
      </c>
      <c r="AJ17" s="1" t="s">
        <v>13</v>
      </c>
    </row>
    <row r="18" spans="2:39" x14ac:dyDescent="0.25">
      <c r="B18" s="1" t="s">
        <v>14</v>
      </c>
      <c r="R18" s="7">
        <f>'Input data from lab'!C27/'Input data from lab'!B26*M13</f>
        <v>0.34236</v>
      </c>
      <c r="X18" s="7">
        <f>'Input data from lab'!C36/'Input data from lab'!B34*R18</f>
        <v>0.35362000000000005</v>
      </c>
      <c r="AJ18" s="7">
        <f>'Input data from lab'!C80/'Input data from lab'!B77*X18</f>
        <v>0.21432000000000001</v>
      </c>
      <c r="AM18" s="1" t="s">
        <v>15</v>
      </c>
    </row>
    <row r="19" spans="2:39" x14ac:dyDescent="0.25">
      <c r="B19" s="1" t="s">
        <v>16</v>
      </c>
      <c r="AM19" s="1">
        <f>('Input data from lab'!C111+'Input data from lab'!C112)/'Input data from lab'!B108*'Direct Recycling LFP_full recov'!AJ13</f>
        <v>5.1366414992442613E-2</v>
      </c>
    </row>
    <row r="20" spans="2:39" x14ac:dyDescent="0.25">
      <c r="B20" s="1" t="s">
        <v>17</v>
      </c>
      <c r="G20" s="7" t="s">
        <v>18</v>
      </c>
      <c r="M20" s="7" t="s">
        <v>18</v>
      </c>
    </row>
    <row r="21" spans="2:39" x14ac:dyDescent="0.25">
      <c r="G21" s="7">
        <f>'Input data from lab'!C9/'Input data from lab'!B5*B16</f>
        <v>0.87926000000000004</v>
      </c>
      <c r="M21" s="7">
        <f>G21+J28</f>
        <v>2.8792599999999999</v>
      </c>
      <c r="X21" s="7" t="s">
        <v>8</v>
      </c>
    </row>
    <row r="22" spans="2:39" x14ac:dyDescent="0.25">
      <c r="X22" s="7">
        <f>'Input data from lab'!C37/'Input data from lab'!B34*R18</f>
        <v>0.46271999999999996</v>
      </c>
    </row>
    <row r="23" spans="2:39" x14ac:dyDescent="0.25">
      <c r="R23" s="7" t="s">
        <v>19</v>
      </c>
    </row>
    <row r="24" spans="2:39" x14ac:dyDescent="0.25">
      <c r="R24" s="7">
        <f>'Input data from lab'!C55/'Input data from lab'!B54*M21</f>
        <v>0.49236812410331232</v>
      </c>
    </row>
    <row r="27" spans="2:39" ht="31.5" x14ac:dyDescent="0.25">
      <c r="C27" s="8" t="s">
        <v>20</v>
      </c>
      <c r="D27" s="8" t="s">
        <v>21</v>
      </c>
      <c r="F27" s="7" t="s">
        <v>22</v>
      </c>
      <c r="J27" s="7" t="s">
        <v>2</v>
      </c>
    </row>
    <row r="28" spans="2:39" x14ac:dyDescent="0.25">
      <c r="C28" s="9">
        <f>B16-SUM(G11,G21,D28,F28)</f>
        <v>9.7140000000000004E-2</v>
      </c>
      <c r="D28" s="7">
        <f>'Input data from lab'!C11/'Input data from lab'!B5*B16</f>
        <v>0.77034000000000002</v>
      </c>
      <c r="F28" s="7">
        <f>'Input data from lab'!C10/'Input data from lab'!B5*B16</f>
        <v>0.21932000000000001</v>
      </c>
      <c r="J28" s="7">
        <f>'Input data from lab'!B45/'Input data from lab'!B44*G21</f>
        <v>2</v>
      </c>
      <c r="R28" s="7" t="s">
        <v>8</v>
      </c>
      <c r="AC28" s="7" t="s">
        <v>4</v>
      </c>
      <c r="AG28" s="7" t="s">
        <v>4</v>
      </c>
    </row>
    <row r="29" spans="2:39" x14ac:dyDescent="0.25">
      <c r="R29" s="7">
        <f>'Input data from lab'!C56/'Input data from lab'!B54*M21</f>
        <v>1.9538435172146569</v>
      </c>
      <c r="AC29" s="7">
        <f>R13+X22-AD13</f>
        <v>1.6779275465805441</v>
      </c>
      <c r="AG29" s="7">
        <f>AD13-AJ13</f>
        <v>0.47529962020037952</v>
      </c>
    </row>
    <row r="30" spans="2:39" x14ac:dyDescent="0.25">
      <c r="P30" s="7"/>
    </row>
    <row r="31" spans="2:39" x14ac:dyDescent="0.25">
      <c r="C31" s="24"/>
      <c r="P31" s="7"/>
    </row>
    <row r="32" spans="2:39" x14ac:dyDescent="0.25">
      <c r="O32" s="7" t="s">
        <v>4</v>
      </c>
      <c r="AE32" s="7" t="s">
        <v>23</v>
      </c>
    </row>
    <row r="33" spans="1:36" x14ac:dyDescent="0.25">
      <c r="O33" s="7">
        <f>M21-R24-R29</f>
        <v>0.43304835868203062</v>
      </c>
      <c r="AE33" s="7">
        <f>X18-AJ18</f>
        <v>0.13930000000000003</v>
      </c>
    </row>
    <row r="35" spans="1:36" x14ac:dyDescent="0.25">
      <c r="R35" s="10" t="s">
        <v>4</v>
      </c>
      <c r="U35" s="7" t="s">
        <v>5</v>
      </c>
      <c r="W35" s="7" t="s">
        <v>5</v>
      </c>
      <c r="Y35" s="7" t="s">
        <v>4</v>
      </c>
    </row>
    <row r="36" spans="1:36" x14ac:dyDescent="0.25">
      <c r="A36" s="1" t="s">
        <v>24</v>
      </c>
      <c r="B36" s="23">
        <f>(B16-(G11-AJ18))/B16</f>
        <v>0.67346812703472403</v>
      </c>
      <c r="R36" s="10">
        <f>R24-AJ37</f>
        <v>0.18874379445039813</v>
      </c>
      <c r="U36" s="7">
        <f>'Input data from lab'!B93/'Input data from lab'!B92*R24</f>
        <v>1.1658916958435583</v>
      </c>
      <c r="W36" s="7">
        <f>'Input data from lab'!B85/'Input data from lab'!B84*R29</f>
        <v>3.427319554160805</v>
      </c>
      <c r="Y36" s="7">
        <f>R29-AJ41</f>
        <v>1.1846464708818694</v>
      </c>
      <c r="AJ36" s="1" t="s">
        <v>25</v>
      </c>
    </row>
    <row r="37" spans="1:36" x14ac:dyDescent="0.25">
      <c r="AJ37" s="7">
        <f>'Input data from lab'!C95/'Input data from lab'!B92*R24</f>
        <v>0.30362432965291419</v>
      </c>
    </row>
    <row r="38" spans="1:36" ht="18" thickBot="1" x14ac:dyDescent="0.35">
      <c r="A38" s="4" t="s">
        <v>26</v>
      </c>
      <c r="B38" s="4"/>
    </row>
    <row r="39" spans="1:36" ht="16.5" thickTop="1" x14ac:dyDescent="0.25">
      <c r="A39" s="1" t="s">
        <v>27</v>
      </c>
    </row>
    <row r="40" spans="1:36" x14ac:dyDescent="0.25">
      <c r="A40" s="1">
        <f>B16</f>
        <v>3.2375400000000001</v>
      </c>
      <c r="B40" s="1" t="s">
        <v>28</v>
      </c>
      <c r="AJ40" s="7" t="s">
        <v>9</v>
      </c>
    </row>
    <row r="41" spans="1:36" x14ac:dyDescent="0.25">
      <c r="AJ41" s="7">
        <f>'Input data from lab'!C87/'Input data from lab'!B84*R29</f>
        <v>0.76919704633278752</v>
      </c>
    </row>
    <row r="42" spans="1:36" ht="18" thickBot="1" x14ac:dyDescent="0.35">
      <c r="A42" s="4" t="s">
        <v>29</v>
      </c>
      <c r="B42" s="4"/>
    </row>
    <row r="43" spans="1:36" ht="16.5" thickTop="1" x14ac:dyDescent="0.25"/>
    <row r="44" spans="1:36" x14ac:dyDescent="0.25">
      <c r="A44" s="11" t="s">
        <v>30</v>
      </c>
      <c r="B44" s="11" t="s">
        <v>31</v>
      </c>
      <c r="C44" s="11" t="s">
        <v>32</v>
      </c>
      <c r="D44" s="11"/>
      <c r="E44" s="11" t="s">
        <v>33</v>
      </c>
      <c r="F44" s="11"/>
      <c r="G44" s="11"/>
      <c r="H44" s="11"/>
      <c r="I44" s="11"/>
      <c r="J44" s="11"/>
    </row>
    <row r="45" spans="1:36" x14ac:dyDescent="0.25">
      <c r="A45" s="3" t="s">
        <v>34</v>
      </c>
      <c r="B45" s="3"/>
      <c r="C45" s="3"/>
      <c r="D45" s="3"/>
      <c r="E45" s="3"/>
    </row>
    <row r="46" spans="1:36" x14ac:dyDescent="0.25">
      <c r="A46" s="11" t="s">
        <v>6</v>
      </c>
      <c r="B46" s="11">
        <f>AL7</f>
        <v>2.2440799859569479E-2</v>
      </c>
      <c r="C46" s="11" t="s">
        <v>35</v>
      </c>
      <c r="D46" s="11"/>
      <c r="E46" s="11"/>
      <c r="F46" s="11"/>
      <c r="G46" s="11"/>
      <c r="H46" s="11"/>
      <c r="I46" s="11"/>
      <c r="J46" s="11"/>
      <c r="K46" s="1">
        <f>B46/$AP$13</f>
        <v>2.3851440397317982E-2</v>
      </c>
    </row>
    <row r="47" spans="1:36" x14ac:dyDescent="0.25">
      <c r="A47" s="11" t="s">
        <v>36</v>
      </c>
      <c r="B47" s="11">
        <f>J6+U6+J28</f>
        <v>4.4976599999999998</v>
      </c>
      <c r="C47" s="11" t="s">
        <v>37</v>
      </c>
      <c r="D47" s="11"/>
      <c r="E47" s="11"/>
      <c r="F47" s="11"/>
      <c r="G47" s="11"/>
      <c r="H47" s="11"/>
      <c r="I47" s="11"/>
      <c r="J47" s="11"/>
      <c r="K47" s="1">
        <f t="shared" ref="K47:K58" si="0">B47/$AP$13</f>
        <v>4.7803852843353711</v>
      </c>
    </row>
    <row r="48" spans="1:36" x14ac:dyDescent="0.25">
      <c r="A48" s="14" t="s">
        <v>38</v>
      </c>
      <c r="B48" s="14"/>
      <c r="C48" s="14"/>
      <c r="D48" s="14"/>
      <c r="E48" s="14"/>
      <c r="K48" s="1">
        <f t="shared" si="0"/>
        <v>0</v>
      </c>
    </row>
    <row r="49" spans="1:12" x14ac:dyDescent="0.25">
      <c r="A49" s="11" t="s">
        <v>5</v>
      </c>
      <c r="B49" s="12">
        <f>AA6+AG6+AN7+AE6+W36+U36</f>
        <v>11.889934402378024</v>
      </c>
      <c r="C49" s="11" t="s">
        <v>39</v>
      </c>
      <c r="D49" s="11"/>
      <c r="E49" s="11"/>
      <c r="F49" s="11"/>
      <c r="G49" s="11"/>
      <c r="H49" s="11"/>
      <c r="I49" s="11"/>
      <c r="J49" s="11"/>
      <c r="K49" s="1">
        <f t="shared" si="0"/>
        <v>12.637341962007085</v>
      </c>
    </row>
    <row r="50" spans="1:12" x14ac:dyDescent="0.25">
      <c r="A50" s="14" t="s">
        <v>40</v>
      </c>
      <c r="B50" s="14"/>
      <c r="C50" s="14"/>
      <c r="D50" s="14"/>
      <c r="E50" s="14"/>
      <c r="K50" s="1">
        <f t="shared" si="0"/>
        <v>0</v>
      </c>
    </row>
    <row r="51" spans="1:12" x14ac:dyDescent="0.25">
      <c r="A51" s="11" t="s">
        <v>41</v>
      </c>
      <c r="B51" s="12">
        <f>C28</f>
        <v>9.7140000000000004E-2</v>
      </c>
      <c r="C51" s="11" t="s">
        <v>42</v>
      </c>
      <c r="D51" s="11"/>
      <c r="E51" s="11"/>
      <c r="F51" s="11"/>
      <c r="G51" s="11"/>
      <c r="H51" s="11"/>
      <c r="I51" s="11"/>
      <c r="J51" s="11"/>
      <c r="K51" s="1">
        <f t="shared" si="0"/>
        <v>0.10324627173248711</v>
      </c>
    </row>
    <row r="52" spans="1:12" x14ac:dyDescent="0.25">
      <c r="A52" s="11" t="s">
        <v>43</v>
      </c>
      <c r="B52" s="11">
        <f>F28</f>
        <v>0.21932000000000001</v>
      </c>
      <c r="C52" s="11" t="s">
        <v>44</v>
      </c>
      <c r="D52" s="11"/>
      <c r="E52" s="11"/>
      <c r="F52" s="11"/>
      <c r="G52" s="11"/>
      <c r="H52" s="11"/>
      <c r="I52" s="11"/>
      <c r="J52" s="11"/>
      <c r="K52" s="1">
        <f t="shared" si="0"/>
        <v>0.23310657109706684</v>
      </c>
    </row>
    <row r="53" spans="1:12" x14ac:dyDescent="0.25">
      <c r="A53" s="11" t="s">
        <v>45</v>
      </c>
      <c r="B53" s="11">
        <f>D28</f>
        <v>0.77034000000000002</v>
      </c>
      <c r="C53" s="11" t="s">
        <v>83</v>
      </c>
      <c r="D53" s="11"/>
      <c r="E53" s="11"/>
      <c r="F53" s="11"/>
      <c r="G53" s="11"/>
      <c r="H53" s="11"/>
      <c r="I53" s="11"/>
      <c r="J53" s="11"/>
      <c r="K53" s="1">
        <f t="shared" si="0"/>
        <v>0.81876397947708579</v>
      </c>
    </row>
    <row r="54" spans="1:12" x14ac:dyDescent="0.25">
      <c r="A54" s="11" t="s">
        <v>47</v>
      </c>
      <c r="B54" s="11">
        <f>(R18/(M13-P6))*G11</f>
        <v>0.14497323790651589</v>
      </c>
      <c r="C54" s="11" t="s">
        <v>83</v>
      </c>
      <c r="D54" s="11"/>
      <c r="E54" s="11"/>
      <c r="F54" s="11"/>
      <c r="G54" s="11"/>
      <c r="H54" s="11"/>
      <c r="I54" s="11"/>
      <c r="J54" s="11"/>
      <c r="K54" s="1">
        <f t="shared" si="0"/>
        <v>0.15408633225071691</v>
      </c>
    </row>
    <row r="55" spans="1:12" x14ac:dyDescent="0.25">
      <c r="A55" s="11" t="s">
        <v>48</v>
      </c>
      <c r="B55" s="11">
        <f>(R24/(M21-O33))*G21</f>
        <v>0.17697552799063213</v>
      </c>
      <c r="C55" s="11" t="s">
        <v>83</v>
      </c>
      <c r="D55" s="11"/>
      <c r="E55" s="11"/>
      <c r="F55" s="11"/>
      <c r="G55" s="11"/>
      <c r="H55" s="11"/>
      <c r="I55" s="11"/>
      <c r="J55" s="11"/>
      <c r="K55" s="1">
        <f t="shared" si="0"/>
        <v>0.18810030320075335</v>
      </c>
    </row>
    <row r="56" spans="1:12" x14ac:dyDescent="0.25">
      <c r="A56" s="11" t="s">
        <v>84</v>
      </c>
      <c r="B56" s="11">
        <f>AJ41</f>
        <v>0.76919704633278752</v>
      </c>
      <c r="C56" s="11" t="s">
        <v>85</v>
      </c>
      <c r="D56" s="11"/>
      <c r="E56" s="11"/>
      <c r="F56" s="11"/>
      <c r="G56" s="11"/>
      <c r="H56" s="11"/>
      <c r="I56" s="11"/>
      <c r="J56" s="11"/>
      <c r="K56" s="1">
        <f t="shared" si="0"/>
        <v>0.817549179138372</v>
      </c>
    </row>
    <row r="57" spans="1:12" x14ac:dyDescent="0.25">
      <c r="A57" s="11" t="s">
        <v>51</v>
      </c>
      <c r="B57" s="11">
        <f>L6+AM19</f>
        <v>6.221641499244264E-2</v>
      </c>
      <c r="C57" s="11" t="s">
        <v>52</v>
      </c>
      <c r="D57" s="11"/>
      <c r="E57" s="11"/>
      <c r="F57" s="11"/>
      <c r="G57" s="11"/>
      <c r="H57" s="11"/>
      <c r="I57" s="11"/>
      <c r="J57" s="11"/>
      <c r="K57" s="1">
        <f t="shared" si="0"/>
        <v>6.6127371716398167E-2</v>
      </c>
    </row>
    <row r="58" spans="1:12" x14ac:dyDescent="0.25">
      <c r="A58" s="11" t="s">
        <v>53</v>
      </c>
      <c r="B58" s="11">
        <f>P6+O33+R36+Y36+W6+AG29</f>
        <v>2.5633982442146781</v>
      </c>
      <c r="C58" s="11" t="s">
        <v>54</v>
      </c>
      <c r="D58" s="11"/>
      <c r="E58" s="11"/>
      <c r="F58" s="11"/>
      <c r="G58" s="11"/>
      <c r="H58" s="11"/>
      <c r="I58" s="11"/>
      <c r="J58" s="11"/>
      <c r="K58" s="1">
        <f t="shared" si="0"/>
        <v>2.7245348124435762</v>
      </c>
    </row>
    <row r="59" spans="1:12" x14ac:dyDescent="0.25">
      <c r="A59" s="13"/>
      <c r="B59" s="13"/>
      <c r="C59" s="13"/>
      <c r="D59" s="13"/>
      <c r="E59" s="13"/>
    </row>
    <row r="60" spans="1:12" ht="18" thickBot="1" x14ac:dyDescent="0.35">
      <c r="A60" s="4" t="s">
        <v>55</v>
      </c>
      <c r="B60" s="4"/>
      <c r="C60" s="13"/>
      <c r="D60" s="13"/>
      <c r="E60" s="13"/>
    </row>
    <row r="61" spans="1:12" ht="16.5" thickTop="1" x14ac:dyDescent="0.25">
      <c r="A61" s="3" t="s">
        <v>56</v>
      </c>
      <c r="B61" s="13"/>
      <c r="C61" s="13"/>
      <c r="D61" s="13"/>
      <c r="E61" s="13"/>
    </row>
    <row r="63" spans="1:12" x14ac:dyDescent="0.25">
      <c r="A63" s="5" t="s">
        <v>57</v>
      </c>
      <c r="B63" s="5" t="s">
        <v>58</v>
      </c>
      <c r="C63" s="5" t="s">
        <v>36</v>
      </c>
      <c r="D63" s="5" t="s">
        <v>5</v>
      </c>
      <c r="E63" s="5" t="s">
        <v>59</v>
      </c>
      <c r="F63" s="5" t="s">
        <v>60</v>
      </c>
      <c r="G63" s="5" t="s">
        <v>61</v>
      </c>
      <c r="H63" s="5" t="s">
        <v>62</v>
      </c>
      <c r="I63" s="5" t="s">
        <v>63</v>
      </c>
      <c r="J63" s="5"/>
      <c r="K63" s="5" t="str">
        <f>A46</f>
        <v>Li2CO3 (kg)</v>
      </c>
      <c r="L63" s="5" t="s">
        <v>64</v>
      </c>
    </row>
    <row r="64" spans="1:12" x14ac:dyDescent="0.25">
      <c r="A64" t="s">
        <v>172</v>
      </c>
      <c r="B64" t="s">
        <v>173</v>
      </c>
      <c r="C64" s="5">
        <f>[1]Impacts!E3</f>
        <v>4.692122229165509E-6</v>
      </c>
      <c r="D64" s="5">
        <f>[2]Impacts!E3</f>
        <v>9.1864337981141639E-4</v>
      </c>
      <c r="E64" s="5">
        <f>[3]Impacts!E3</f>
        <v>1.1257436393353423E-3</v>
      </c>
      <c r="F64" s="5">
        <f>[4]Impacts!E3</f>
        <v>4.581173522393113E-4</v>
      </c>
      <c r="G64" s="5">
        <f>[5]Impacts!E3</f>
        <v>2.5041739283608648E-4</v>
      </c>
      <c r="H64" s="5">
        <f>[6]Impacts!E3</f>
        <v>3.5067128249634013E-3</v>
      </c>
      <c r="I64" s="5">
        <v>0</v>
      </c>
      <c r="J64" s="5"/>
      <c r="K64" s="5">
        <f>'Direct Recycling LFP_CAM'!K64</f>
        <v>1.9666266067471391E-2</v>
      </c>
      <c r="L64" s="5">
        <f>[8]Impacts!E3</f>
        <v>1.7180508146602259E-4</v>
      </c>
    </row>
    <row r="65" spans="1:12" x14ac:dyDescent="0.25">
      <c r="A65" t="s">
        <v>65</v>
      </c>
      <c r="B65" t="s">
        <v>66</v>
      </c>
      <c r="C65" s="5">
        <f>[1]Impacts!E4</f>
        <v>4.3346250721589972E-4</v>
      </c>
      <c r="D65" s="5">
        <f>[2]Impacts!E4</f>
        <v>0.4281769097339172</v>
      </c>
      <c r="E65" s="5">
        <f>[3]Impacts!E4</f>
        <v>1.9859718697932338</v>
      </c>
      <c r="F65" s="5">
        <f>[4]Impacts!E4</f>
        <v>1.5964474311074865</v>
      </c>
      <c r="G65" s="5">
        <f>[5]Impacts!E4</f>
        <v>3.9348159381086781E-2</v>
      </c>
      <c r="H65" s="5">
        <f>[6]Impacts!E4</f>
        <v>2.5105789006517405</v>
      </c>
      <c r="I65" s="5">
        <v>0</v>
      </c>
      <c r="J65" s="5"/>
      <c r="K65" s="5">
        <f>'Direct Recycling LFP_CAM'!K65</f>
        <v>2.159820907530412</v>
      </c>
      <c r="L65" s="5">
        <f>[8]Impacts!E4</f>
        <v>0.61082931637914728</v>
      </c>
    </row>
    <row r="66" spans="1:12" x14ac:dyDescent="0.25">
      <c r="A66" t="s">
        <v>174</v>
      </c>
      <c r="B66" t="s">
        <v>66</v>
      </c>
      <c r="C66" s="5">
        <f>[1]Impacts!E5</f>
        <v>3.4720939131139716E-5</v>
      </c>
      <c r="D66" s="5">
        <f>[2]Impacts!E5</f>
        <v>5.13300207451005E-5</v>
      </c>
      <c r="E66" s="5">
        <f>[3]Impacts!E5</f>
        <v>2.0790601748930192E-4</v>
      </c>
      <c r="F66" s="5">
        <f>[4]Impacts!E5</f>
        <v>9.7666389775778937E-5</v>
      </c>
      <c r="G66" s="5">
        <f>[5]Impacts!E5</f>
        <v>9.7266301014365859E-5</v>
      </c>
      <c r="H66" s="5">
        <f>[6]Impacts!E5</f>
        <v>8.2783171566492664E-4</v>
      </c>
      <c r="I66" s="5">
        <v>0</v>
      </c>
      <c r="J66" s="5"/>
      <c r="K66" s="5">
        <f>'Direct Recycling LFP_CAM'!K66</f>
        <v>1.3241142748413931E-2</v>
      </c>
      <c r="L66" s="5">
        <f>[8]Impacts!E5</f>
        <v>0.55651430336177887</v>
      </c>
    </row>
    <row r="67" spans="1:12" x14ac:dyDescent="0.25">
      <c r="A67" t="s">
        <v>175</v>
      </c>
      <c r="B67" t="s">
        <v>66</v>
      </c>
      <c r="C67" s="5">
        <f>[1]Impacts!E6</f>
        <v>3.9819375974749606E-4</v>
      </c>
      <c r="D67" s="5">
        <f>[2]Impacts!E6</f>
        <v>0.42807838732696796</v>
      </c>
      <c r="E67" s="5">
        <f>[3]Impacts!E6</f>
        <v>1.985622726902277</v>
      </c>
      <c r="F67" s="5">
        <f>[4]Impacts!E6</f>
        <v>1.5963294441528313</v>
      </c>
      <c r="G67" s="5">
        <f>[5]Impacts!E6</f>
        <v>3.9208818739680545E-2</v>
      </c>
      <c r="H67" s="5">
        <f>[6]Impacts!E6</f>
        <v>2.5091359243146778</v>
      </c>
      <c r="I67" s="5">
        <v>0</v>
      </c>
      <c r="J67" s="5"/>
      <c r="K67" s="5">
        <f>'Direct Recycling LFP_CAM'!K67</f>
        <v>2.1439798249253994</v>
      </c>
      <c r="L67" s="5">
        <f>[8]Impacts!E6</f>
        <v>5.4293180711498946E-2</v>
      </c>
    </row>
    <row r="68" spans="1:12" x14ac:dyDescent="0.25">
      <c r="A68" t="s">
        <v>176</v>
      </c>
      <c r="B68" t="s">
        <v>66</v>
      </c>
      <c r="C68" s="5">
        <f>[1]Impacts!E7</f>
        <v>5.478083372639661E-7</v>
      </c>
      <c r="D68" s="5">
        <f>[2]Impacts!E7</f>
        <v>4.7192386204149598E-5</v>
      </c>
      <c r="E68" s="5">
        <f>[3]Impacts!E7</f>
        <v>1.4123687346749504E-4</v>
      </c>
      <c r="F68" s="5">
        <f>[4]Impacts!E7</f>
        <v>2.0320564879248807E-5</v>
      </c>
      <c r="G68" s="5">
        <f>[5]Impacts!E7</f>
        <v>4.207434039186576E-5</v>
      </c>
      <c r="H68" s="5">
        <f>[6]Impacts!E7</f>
        <v>6.1514462139802654E-4</v>
      </c>
      <c r="I68" s="5">
        <v>0</v>
      </c>
      <c r="J68" s="5"/>
      <c r="K68" s="5">
        <f>'Direct Recycling LFP_CAM'!K68</f>
        <v>2.5999398565985407E-3</v>
      </c>
      <c r="L68" s="5">
        <f>[8]Impacts!E7</f>
        <v>2.183230586964943E-5</v>
      </c>
    </row>
    <row r="69" spans="1:12" x14ac:dyDescent="0.25">
      <c r="A69" t="s">
        <v>177</v>
      </c>
      <c r="B69" t="s">
        <v>178</v>
      </c>
      <c r="C69" s="5">
        <f>[1]Impacts!E8</f>
        <v>5.0651928933471584E-2</v>
      </c>
      <c r="D69" s="5">
        <f>[2]Impacts!E8</f>
        <v>0.6004619964165292</v>
      </c>
      <c r="E69" s="5">
        <f>[3]Impacts!E8</f>
        <v>15.496480467696724</v>
      </c>
      <c r="F69" s="5">
        <f>[4]Impacts!E8</f>
        <v>3.4185765418726</v>
      </c>
      <c r="G69" s="5">
        <f>[5]Impacts!E8</f>
        <v>8.2822034410836949</v>
      </c>
      <c r="H69" s="5">
        <f>[6]Impacts!E8</f>
        <v>38.434421723779771</v>
      </c>
      <c r="I69" s="5">
        <v>0</v>
      </c>
      <c r="J69" s="5"/>
      <c r="K69" s="5">
        <f>'Direct Recycling LFP_CAM'!K69</f>
        <v>68.381948841213955</v>
      </c>
      <c r="L69" s="5">
        <f>[8]Impacts!E8</f>
        <v>2.5598852300854364</v>
      </c>
    </row>
    <row r="70" spans="1:12" x14ac:dyDescent="0.25">
      <c r="A70" t="s">
        <v>179</v>
      </c>
      <c r="B70" t="s">
        <v>178</v>
      </c>
      <c r="C70" s="5">
        <f>[1]Impacts!E9</f>
        <v>5.04202256290271E-2</v>
      </c>
      <c r="D70" s="5">
        <f>[2]Impacts!E9</f>
        <v>0.47284033483743321</v>
      </c>
      <c r="E70" s="5">
        <f>[3]Impacts!E9</f>
        <v>15.443269750677734</v>
      </c>
      <c r="F70" s="5">
        <f>[4]Impacts!E9</f>
        <v>3.4055151777986348</v>
      </c>
      <c r="G70" s="5">
        <f>[5]Impacts!E9</f>
        <v>8.2713137399989698</v>
      </c>
      <c r="H70" s="5">
        <f>[6]Impacts!E9</f>
        <v>38.202565861350806</v>
      </c>
      <c r="I70" s="5">
        <v>0</v>
      </c>
      <c r="J70" s="5"/>
      <c r="K70" s="5">
        <f>'Direct Recycling LFP_CAM'!K70</f>
        <v>67.133609193078954</v>
      </c>
      <c r="L70" s="5">
        <f>[8]Impacts!E9</f>
        <v>2.5447889188117006</v>
      </c>
    </row>
    <row r="71" spans="1:12" x14ac:dyDescent="0.25">
      <c r="A71" t="s">
        <v>180</v>
      </c>
      <c r="B71" t="s">
        <v>178</v>
      </c>
      <c r="C71" s="5">
        <f>[1]Impacts!E10</f>
        <v>2.3170330444452055E-4</v>
      </c>
      <c r="D71" s="5">
        <f>[2]Impacts!E10</f>
        <v>0.12762166157909643</v>
      </c>
      <c r="E71" s="5">
        <f>[3]Impacts!E10</f>
        <v>5.3210717018973328E-2</v>
      </c>
      <c r="F71" s="5">
        <f>[4]Impacts!E10</f>
        <v>1.3061364073964221E-2</v>
      </c>
      <c r="G71" s="5">
        <f>[5]Impacts!E10</f>
        <v>1.0889701084735312E-2</v>
      </c>
      <c r="H71" s="5">
        <f>[6]Impacts!E10</f>
        <v>0.23185586242903328</v>
      </c>
      <c r="I71" s="5">
        <v>0</v>
      </c>
      <c r="J71" s="5"/>
      <c r="K71" s="5">
        <f>'Direct Recycling LFP_CAM'!K71</f>
        <v>1.2483396481350681</v>
      </c>
      <c r="L71" s="5">
        <f>[8]Impacts!E10</f>
        <v>1.5096311273735941E-2</v>
      </c>
    </row>
    <row r="72" spans="1:12" x14ac:dyDescent="0.25">
      <c r="A72" t="s">
        <v>181</v>
      </c>
      <c r="B72" t="s">
        <v>182</v>
      </c>
      <c r="C72" s="5">
        <f>[1]Impacts!E11</f>
        <v>5.3652433539815641E-3</v>
      </c>
      <c r="D72" s="5">
        <f>[2]Impacts!E11</f>
        <v>9.9169736687639602</v>
      </c>
      <c r="E72" s="5">
        <f>[3]Impacts!E11</f>
        <v>2.9750957048445192</v>
      </c>
      <c r="F72" s="5">
        <f>[4]Impacts!E11</f>
        <v>0.53789134031003338</v>
      </c>
      <c r="G72" s="5">
        <f>[5]Impacts!E11</f>
        <v>0.56403611826047129</v>
      </c>
      <c r="H72" s="5">
        <f>[6]Impacts!E11</f>
        <v>12.279330499081084</v>
      </c>
      <c r="I72" s="5">
        <v>0</v>
      </c>
      <c r="J72" s="5"/>
      <c r="K72" s="5">
        <f>'Direct Recycling LFP_CAM'!K72</f>
        <v>26.275155143068808</v>
      </c>
      <c r="L72" s="5">
        <f>[8]Impacts!E11</f>
        <v>0.34649128641935462</v>
      </c>
    </row>
    <row r="73" spans="1:12" x14ac:dyDescent="0.25">
      <c r="A73" t="s">
        <v>183</v>
      </c>
      <c r="B73" t="s">
        <v>67</v>
      </c>
      <c r="C73" s="5">
        <f>[1]Impacts!E12</f>
        <v>1.5551201792547164E-7</v>
      </c>
      <c r="D73" s="5">
        <f>[2]Impacts!E12</f>
        <v>8.4790857745831671E-5</v>
      </c>
      <c r="E73" s="5">
        <f>[3]Impacts!E12</f>
        <v>2.7963342441352022E-4</v>
      </c>
      <c r="F73" s="5">
        <f>[4]Impacts!E12</f>
        <v>5.9954778981823515E-6</v>
      </c>
      <c r="G73" s="5">
        <f>[5]Impacts!E12</f>
        <v>1.1558659449902957E-5</v>
      </c>
      <c r="H73" s="5">
        <f>[6]Impacts!E12</f>
        <v>6.867327820465998E-4</v>
      </c>
      <c r="I73" s="5">
        <v>0</v>
      </c>
      <c r="J73" s="5"/>
      <c r="K73" s="5">
        <f>'Direct Recycling LFP_CAM'!K73</f>
        <v>1.9709617305072539E-3</v>
      </c>
      <c r="L73" s="5">
        <f>[8]Impacts!E12</f>
        <v>1.5932191378096658E-5</v>
      </c>
    </row>
    <row r="74" spans="1:12" x14ac:dyDescent="0.25">
      <c r="A74" t="s">
        <v>184</v>
      </c>
      <c r="B74" t="s">
        <v>68</v>
      </c>
      <c r="C74" s="5">
        <f>[1]Impacts!E13</f>
        <v>3.9590753719851674E-7</v>
      </c>
      <c r="D74" s="5">
        <f>[2]Impacts!E13</f>
        <v>2.5233674173128797E-4</v>
      </c>
      <c r="E74" s="5">
        <f>[3]Impacts!E13</f>
        <v>4.3660940992675678E-4</v>
      </c>
      <c r="F74" s="5">
        <f>[4]Impacts!E13</f>
        <v>9.7736103658016809E-4</v>
      </c>
      <c r="G74" s="5">
        <f>[5]Impacts!E13</f>
        <v>6.4931912700875915E-5</v>
      </c>
      <c r="H74" s="5">
        <f>[6]Impacts!E13</f>
        <v>8.7970378998701636E-4</v>
      </c>
      <c r="I74" s="5">
        <v>0</v>
      </c>
      <c r="J74" s="5"/>
      <c r="K74" s="5">
        <f>'Direct Recycling LFP_CAM'!K74</f>
        <v>8.3834083435710104E-3</v>
      </c>
      <c r="L74" s="5">
        <f>[8]Impacts!E13</f>
        <v>1.7875681257467971E-3</v>
      </c>
    </row>
    <row r="75" spans="1:12" x14ac:dyDescent="0.25">
      <c r="A75" t="s">
        <v>185</v>
      </c>
      <c r="B75" t="s">
        <v>186</v>
      </c>
      <c r="C75" s="5">
        <f>[1]Impacts!E14</f>
        <v>4.0229991273403295E-6</v>
      </c>
      <c r="D75" s="5">
        <f>[2]Impacts!E14</f>
        <v>2.5579415851553857E-3</v>
      </c>
      <c r="E75" s="5">
        <f>[3]Impacts!E14</f>
        <v>3.7212298322550825E-3</v>
      </c>
      <c r="F75" s="5">
        <f>[4]Impacts!E14</f>
        <v>2.1737553266591115E-3</v>
      </c>
      <c r="G75" s="5">
        <f>[5]Impacts!E14</f>
        <v>6.9200449750275467E-4</v>
      </c>
      <c r="H75" s="5">
        <f>[6]Impacts!E14</f>
        <v>8.5568563133932973E-3</v>
      </c>
      <c r="I75" s="5">
        <v>0</v>
      </c>
      <c r="J75" s="5"/>
      <c r="K75" s="5">
        <f>'Direct Recycling LFP_CAM'!K75</f>
        <v>5.5772230163880707E-2</v>
      </c>
      <c r="L75" s="5">
        <f>[8]Impacts!E14</f>
        <v>4.8649954401374366E-4</v>
      </c>
    </row>
    <row r="76" spans="1:12" x14ac:dyDescent="0.25">
      <c r="A76" t="s">
        <v>187</v>
      </c>
      <c r="B76" t="s">
        <v>188</v>
      </c>
      <c r="C76" s="5">
        <f>[1]Impacts!E15</f>
        <v>3.8365193261568331E-13</v>
      </c>
      <c r="D76" s="5">
        <f>[2]Impacts!E15</f>
        <v>6.8783021520926425E-11</v>
      </c>
      <c r="E76" s="5">
        <f>[3]Impacts!E15</f>
        <v>2.1916302320875915E-10</v>
      </c>
      <c r="F76" s="5">
        <f>[4]Impacts!E15</f>
        <v>2.7447280165311544E-10</v>
      </c>
      <c r="G76" s="5">
        <f>[5]Impacts!E15</f>
        <v>3.5454320619262287E-11</v>
      </c>
      <c r="H76" s="5">
        <f>[6]Impacts!E15</f>
        <v>1.5142892912042382E-9</v>
      </c>
      <c r="I76" s="5">
        <v>0</v>
      </c>
      <c r="J76" s="5"/>
      <c r="K76" s="5">
        <f>'Direct Recycling LFP_CAM'!K76</f>
        <v>2.9893881305278722E-9</v>
      </c>
      <c r="L76" s="5">
        <f>[8]Impacts!E15</f>
        <v>3.2240379634019343E-11</v>
      </c>
    </row>
    <row r="77" spans="1:12" x14ac:dyDescent="0.25">
      <c r="A77" t="s">
        <v>189</v>
      </c>
      <c r="B77" t="s">
        <v>188</v>
      </c>
      <c r="C77" s="5">
        <f>[1]Impacts!E16</f>
        <v>2.4593996210056541E-13</v>
      </c>
      <c r="D77" s="5">
        <f>[2]Impacts!E16</f>
        <v>3.4692619048748938E-11</v>
      </c>
      <c r="E77" s="5">
        <f>[3]Impacts!E16</f>
        <v>7.4523462239851009E-11</v>
      </c>
      <c r="F77" s="5">
        <f>[4]Impacts!E16</f>
        <v>1.3032952816250908E-10</v>
      </c>
      <c r="G77" s="5">
        <f>[5]Impacts!E16</f>
        <v>9.6935522442158585E-12</v>
      </c>
      <c r="H77" s="5">
        <f>[6]Impacts!E16</f>
        <v>1.2928983416186932E-9</v>
      </c>
      <c r="I77" s="5">
        <v>0</v>
      </c>
      <c r="J77" s="5"/>
      <c r="K77" s="5">
        <f>'Direct Recycling LFP_CAM'!K77</f>
        <v>2.4444598515963122E-9</v>
      </c>
      <c r="L77" s="5">
        <f>[8]Impacts!E16</f>
        <v>2.7401815931797577E-11</v>
      </c>
    </row>
    <row r="78" spans="1:12" x14ac:dyDescent="0.25">
      <c r="A78" t="s">
        <v>190</v>
      </c>
      <c r="B78" t="s">
        <v>188</v>
      </c>
      <c r="C78" s="5">
        <f>[1]Impacts!E17</f>
        <v>1.377119705151178E-13</v>
      </c>
      <c r="D78" s="5">
        <f>[2]Impacts!E17</f>
        <v>3.4090402472177507E-11</v>
      </c>
      <c r="E78" s="5">
        <f>[3]Impacts!E17</f>
        <v>1.446395609689082E-10</v>
      </c>
      <c r="F78" s="5">
        <f>[4]Impacts!E17</f>
        <v>1.4414327349060625E-10</v>
      </c>
      <c r="G78" s="5">
        <f>[5]Impacts!E17</f>
        <v>2.5760768375046418E-11</v>
      </c>
      <c r="H78" s="5">
        <f>[6]Impacts!E17</f>
        <v>2.2139094958554549E-10</v>
      </c>
      <c r="I78" s="5"/>
      <c r="J78" s="5"/>
      <c r="K78" s="5">
        <f>'Direct Recycling LFP_CAM'!K78</f>
        <v>5.4492827893155923E-10</v>
      </c>
      <c r="L78" s="5">
        <f>[8]Impacts!E17</f>
        <v>4.8385637022217886E-12</v>
      </c>
    </row>
    <row r="79" spans="1:12" x14ac:dyDescent="0.25">
      <c r="A79" t="s">
        <v>191</v>
      </c>
      <c r="B79" t="s">
        <v>188</v>
      </c>
      <c r="C79" s="5">
        <f>[1]Impacts!E18</f>
        <v>9.0311567352861167E-12</v>
      </c>
      <c r="D79" s="5">
        <f>[2]Impacts!E18</f>
        <v>1.5093481634416235E-9</v>
      </c>
      <c r="E79" s="5">
        <f>[3]Impacts!E18</f>
        <v>2.8695777896498485E-9</v>
      </c>
      <c r="F79" s="5">
        <f>[4]Impacts!E18</f>
        <v>5.3255426401488966E-9</v>
      </c>
      <c r="G79" s="5">
        <f>[5]Impacts!E18</f>
        <v>4.6384572584822904E-10</v>
      </c>
      <c r="H79" s="5">
        <f>[6]Impacts!E18</f>
        <v>1.2011148544520457E-8</v>
      </c>
      <c r="I79" s="5"/>
      <c r="J79" s="5"/>
      <c r="K79" s="5">
        <f>'Direct Recycling LFP_CAM'!K79</f>
        <v>1.0216450746670304E-7</v>
      </c>
      <c r="L79" s="5">
        <f>[8]Impacts!E18</f>
        <v>1.4715338750196004E-9</v>
      </c>
    </row>
    <row r="80" spans="1:12" x14ac:dyDescent="0.25">
      <c r="A80" t="s">
        <v>192</v>
      </c>
      <c r="B80" t="s">
        <v>188</v>
      </c>
      <c r="C80" s="5">
        <f>[1]Impacts!E19</f>
        <v>8.6611564641843051E-12</v>
      </c>
      <c r="D80" s="5">
        <f>[2]Impacts!E19</f>
        <v>1.4431461204892331E-9</v>
      </c>
      <c r="E80" s="5">
        <f>[3]Impacts!E19</f>
        <v>2.7739449066142375E-9</v>
      </c>
      <c r="F80" s="5">
        <f>[4]Impacts!E19</f>
        <v>5.2510496216691586E-9</v>
      </c>
      <c r="G80" s="5">
        <f>[5]Impacts!E19</f>
        <v>4.4974857654855111E-10</v>
      </c>
      <c r="H80" s="5">
        <f>[6]Impacts!E19</f>
        <v>1.157177340907836E-8</v>
      </c>
      <c r="I80" s="5"/>
      <c r="J80" s="5"/>
      <c r="K80" s="5">
        <f>'Direct Recycling LFP_CAM'!K80</f>
        <v>1.0024254051620969E-7</v>
      </c>
      <c r="L80" s="5">
        <f>[8]Impacts!E19</f>
        <v>4.494959741755842E-10</v>
      </c>
    </row>
    <row r="81" spans="1:12" x14ac:dyDescent="0.25">
      <c r="A81" t="s">
        <v>193</v>
      </c>
      <c r="B81" t="s">
        <v>188</v>
      </c>
      <c r="C81" s="5">
        <f>[1]Impacts!E20</f>
        <v>3.7000027110181791E-13</v>
      </c>
      <c r="D81" s="5">
        <f>[2]Impacts!E20</f>
        <v>6.6202042952391605E-11</v>
      </c>
      <c r="E81" s="5">
        <f>[3]Impacts!E20</f>
        <v>9.5632883035610656E-11</v>
      </c>
      <c r="F81" s="5">
        <f>[4]Impacts!E20</f>
        <v>7.4493018479738457E-11</v>
      </c>
      <c r="G81" s="5">
        <f>[5]Impacts!E20</f>
        <v>1.4097149299677819E-11</v>
      </c>
      <c r="H81" s="5">
        <f>[6]Impacts!E20</f>
        <v>4.393751354421018E-10</v>
      </c>
      <c r="I81" s="5"/>
      <c r="J81" s="5"/>
      <c r="K81" s="5">
        <f>'Direct Recycling LFP_CAM'!K81</f>
        <v>1.9219669504934385E-9</v>
      </c>
      <c r="L81" s="5">
        <f>[8]Impacts!E20</f>
        <v>1.0220379008440175E-9</v>
      </c>
    </row>
    <row r="82" spans="1:12" x14ac:dyDescent="0.25">
      <c r="A82" t="s">
        <v>194</v>
      </c>
      <c r="B82" t="s">
        <v>195</v>
      </c>
      <c r="C82" s="5">
        <f>[1]Impacts!E21</f>
        <v>4.5414803455755116E-5</v>
      </c>
      <c r="D82" s="5">
        <f>[2]Impacts!E21</f>
        <v>0.28914623229534725</v>
      </c>
      <c r="E82" s="5">
        <f>[3]Impacts!E21</f>
        <v>1.0434812532779194E-2</v>
      </c>
      <c r="F82" s="5">
        <f>[4]Impacts!E21</f>
        <v>9.2589039680171222E-4</v>
      </c>
      <c r="G82" s="5">
        <f>[5]Impacts!E21</f>
        <v>2.4488377665094914E-3</v>
      </c>
      <c r="H82" s="5">
        <f>[6]Impacts!E21</f>
        <v>4.485553755533226E-2</v>
      </c>
      <c r="I82" s="5"/>
      <c r="J82" s="5"/>
      <c r="K82" s="5">
        <f>'Direct Recycling LFP_CAM'!K82</f>
        <v>0.12115057820908416</v>
      </c>
      <c r="L82" s="5">
        <f>[8]Impacts!E21</f>
        <v>1.2682243528615881E-3</v>
      </c>
    </row>
    <row r="83" spans="1:12" x14ac:dyDescent="0.25">
      <c r="A83" t="s">
        <v>196</v>
      </c>
      <c r="B83" t="s">
        <v>197</v>
      </c>
      <c r="C83" s="5">
        <f>[1]Impacts!E22</f>
        <v>1.7326931978326493E-3</v>
      </c>
      <c r="D83" s="5">
        <f>[2]Impacts!E22</f>
        <v>1.3296370311871331</v>
      </c>
      <c r="E83" s="5">
        <f>[3]Impacts!E22</f>
        <v>0.54568069579970557</v>
      </c>
      <c r="F83" s="5">
        <f>[4]Impacts!E22</f>
        <v>0.40289403583460331</v>
      </c>
      <c r="G83" s="5">
        <f>[5]Impacts!E22</f>
        <v>0.69232446360993072</v>
      </c>
      <c r="H83" s="5">
        <f>[6]Impacts!E22</f>
        <v>2.2581710232255126</v>
      </c>
      <c r="I83" s="5">
        <v>0</v>
      </c>
      <c r="J83" s="5"/>
      <c r="K83" s="5">
        <f>'Direct Recycling LFP_CAM'!K83</f>
        <v>29.625631790119389</v>
      </c>
      <c r="L83" s="5">
        <f>[8]Impacts!E22</f>
        <v>0.59734442454656311</v>
      </c>
    </row>
    <row r="84" spans="1:12" x14ac:dyDescent="0.25">
      <c r="A84" t="s">
        <v>198</v>
      </c>
      <c r="B84" t="s">
        <v>199</v>
      </c>
      <c r="C84" s="5">
        <f>[1]Impacts!E23</f>
        <v>8.5960332802556657E-9</v>
      </c>
      <c r="D84" s="5">
        <f>[2]Impacts!E23</f>
        <v>6.2163514397111894E-7</v>
      </c>
      <c r="E84" s="5">
        <f>[3]Impacts!E23</f>
        <v>1.4689421087612479E-6</v>
      </c>
      <c r="F84" s="5">
        <f>[4]Impacts!E23</f>
        <v>1.4872991103539751E-7</v>
      </c>
      <c r="G84" s="5">
        <f>[5]Impacts!E23</f>
        <v>8.3785881489488546E-8</v>
      </c>
      <c r="H84" s="5">
        <f>[6]Impacts!E23</f>
        <v>6.1294517155744296E-6</v>
      </c>
      <c r="I84" s="5">
        <v>0</v>
      </c>
      <c r="J84" s="5"/>
      <c r="K84" s="5">
        <f>'Direct Recycling LFP_CAM'!K84</f>
        <v>5.8660218915084422E-5</v>
      </c>
      <c r="L84" s="5">
        <f>[8]Impacts!E23</f>
        <v>6.4322537503390001E-8</v>
      </c>
    </row>
    <row r="85" spans="1:12" x14ac:dyDescent="0.25">
      <c r="A85" t="s">
        <v>200</v>
      </c>
      <c r="B85" t="s">
        <v>69</v>
      </c>
      <c r="C85" s="5">
        <f>[1]Impacts!E24</f>
        <v>2.2251833779696891E-10</v>
      </c>
      <c r="D85" s="5">
        <f>[2]Impacts!E24</f>
        <v>2.2148541251203087E-8</v>
      </c>
      <c r="E85" s="5">
        <f>[3]Impacts!E24</f>
        <v>3.7858039237149263E-8</v>
      </c>
      <c r="F85" s="5">
        <f>[4]Impacts!E24</f>
        <v>1.916520818711307E-9</v>
      </c>
      <c r="G85" s="5">
        <f>[5]Impacts!E24</f>
        <v>4.5120684684167513E-10</v>
      </c>
      <c r="H85" s="5">
        <f>[6]Impacts!E24</f>
        <v>1.6552927786910482E-7</v>
      </c>
      <c r="I85" s="5">
        <v>0</v>
      </c>
      <c r="J85" s="5"/>
      <c r="K85" s="5">
        <f>'Direct Recycling LFP_CAM'!K85</f>
        <v>3.4916674315984016E-8</v>
      </c>
      <c r="L85" s="5">
        <f>[8]Impacts!E24</f>
        <v>3.5396731690011054E-10</v>
      </c>
    </row>
    <row r="86" spans="1:12" x14ac:dyDescent="0.25">
      <c r="A86" t="s">
        <v>201</v>
      </c>
      <c r="B86" t="s">
        <v>202</v>
      </c>
      <c r="C86" s="5">
        <f>[1]Impacts!E25</f>
        <v>3.7436311437297282E-11</v>
      </c>
      <c r="D86" s="5">
        <f>[2]Impacts!E25</f>
        <v>4.8983832881176746E-9</v>
      </c>
      <c r="E86" s="5">
        <f>[3]Impacts!E25</f>
        <v>1.6967692386895422E-8</v>
      </c>
      <c r="F86" s="5">
        <f>[4]Impacts!E25</f>
        <v>1.2629685502001521E-8</v>
      </c>
      <c r="G86" s="5">
        <f>[5]Impacts!E25</f>
        <v>3.8853686413120416E-9</v>
      </c>
      <c r="H86" s="5">
        <f>[6]Impacts!E25</f>
        <v>3.8448215540653368E-8</v>
      </c>
      <c r="I86" s="5">
        <v>0</v>
      </c>
      <c r="J86" s="5"/>
      <c r="K86" s="5">
        <f>'Direct Recycling LFP_CAM'!K86</f>
        <v>2.4768572277508995E-7</v>
      </c>
      <c r="L86" s="5">
        <f>[8]Impacts!E25</f>
        <v>2.2379424672438651E-9</v>
      </c>
    </row>
    <row r="87" spans="1:12" x14ac:dyDescent="0.25">
      <c r="A87" t="s">
        <v>203</v>
      </c>
      <c r="B87" t="s">
        <v>204</v>
      </c>
      <c r="C87" s="5">
        <f>[1]Impacts!E26</f>
        <v>1.4898266188380236E-6</v>
      </c>
      <c r="D87" s="5">
        <f>[2]Impacts!E26</f>
        <v>8.4817457783881113E-4</v>
      </c>
      <c r="E87" s="5">
        <f>[3]Impacts!E26</f>
        <v>1.0989304631537915E-3</v>
      </c>
      <c r="F87" s="5">
        <f>[4]Impacts!E26</f>
        <v>5.9843978515973604E-4</v>
      </c>
      <c r="G87" s="5">
        <f>[5]Impacts!E26</f>
        <v>2.2913507820995747E-4</v>
      </c>
      <c r="H87" s="5">
        <f>[6]Impacts!E26</f>
        <v>3.2059852139465295E-3</v>
      </c>
      <c r="I87" s="5"/>
      <c r="J87" s="5"/>
      <c r="K87" s="5">
        <f>'Direct Recycling LFP_CAM'!K87</f>
        <v>1.1027718220120969E-2</v>
      </c>
      <c r="L87" s="5">
        <f>[8]Impacts!E26</f>
        <v>3.6921199853446956E-4</v>
      </c>
    </row>
    <row r="88" spans="1:12" x14ac:dyDescent="0.25">
      <c r="A88" t="s">
        <v>205</v>
      </c>
      <c r="B88" t="s">
        <v>206</v>
      </c>
      <c r="C88" s="5">
        <f>[1]Impacts!E27</f>
        <v>9.9983654370300323E-4</v>
      </c>
      <c r="D88" s="5">
        <f>[2]Impacts!E27</f>
        <v>6.7469199700222665E-2</v>
      </c>
      <c r="E88" s="5">
        <f>[3]Impacts!E27</f>
        <v>0.10681680621326249</v>
      </c>
      <c r="F88" s="5">
        <f>[4]Impacts!E27</f>
        <v>6.2280155275503235E-2</v>
      </c>
      <c r="G88" s="5">
        <f>[5]Impacts!E27</f>
        <v>6.9642812969866186E-3</v>
      </c>
      <c r="H88" s="5">
        <f>[6]Impacts!E27</f>
        <v>0.36266370611535315</v>
      </c>
      <c r="I88" s="11"/>
      <c r="J88" s="11"/>
      <c r="K88" s="5">
        <f>'Direct Recycling LFP_CAM'!K88</f>
        <v>1.7816903600181819</v>
      </c>
      <c r="L88" s="5">
        <f>[8]Impacts!E27</f>
        <v>3.1705601711219714E-3</v>
      </c>
    </row>
    <row r="90" spans="1:12" ht="18" thickBot="1" x14ac:dyDescent="0.35">
      <c r="A90" s="4" t="s">
        <v>70</v>
      </c>
      <c r="B90" s="4"/>
    </row>
    <row r="91" spans="1:12" ht="16.5" thickTop="1" x14ac:dyDescent="0.25"/>
    <row r="92" spans="1:12" x14ac:dyDescent="0.25">
      <c r="A92" s="15" t="s">
        <v>57</v>
      </c>
      <c r="B92" s="15" t="s">
        <v>58</v>
      </c>
      <c r="C92" s="15" t="s">
        <v>71</v>
      </c>
      <c r="D92" s="15" t="s">
        <v>72</v>
      </c>
      <c r="E92" s="15" t="s">
        <v>73</v>
      </c>
      <c r="F92" s="15" t="s">
        <v>74</v>
      </c>
      <c r="G92" s="15" t="s">
        <v>76</v>
      </c>
      <c r="H92" s="15" t="s">
        <v>77</v>
      </c>
      <c r="I92" s="15" t="s">
        <v>78</v>
      </c>
    </row>
    <row r="93" spans="1:12" x14ac:dyDescent="0.25">
      <c r="A93" t="s">
        <v>172</v>
      </c>
      <c r="B93" t="s">
        <v>173</v>
      </c>
      <c r="C93" s="16">
        <f>$B$47*C64</f>
        <v>2.1103570465228544E-5</v>
      </c>
      <c r="D93" s="16">
        <f>$B$49*D64</f>
        <v>1.0922609525136582E-2</v>
      </c>
      <c r="E93" s="16">
        <f>$B$51*E64</f>
        <v>1.0935473712503515E-4</v>
      </c>
      <c r="F93" s="16">
        <f>$B$52*F64</f>
        <v>1.0047429769312577E-4</v>
      </c>
      <c r="G93" s="16">
        <f>$B$57*H64</f>
        <v>2.1817510037724385E-4</v>
      </c>
      <c r="H93" s="16">
        <f>$B$58*I64*0.001</f>
        <v>0</v>
      </c>
      <c r="I93" s="16">
        <f>$B$46*K64</f>
        <v>4.4132674080516799E-4</v>
      </c>
    </row>
    <row r="94" spans="1:12" x14ac:dyDescent="0.25">
      <c r="A94" t="s">
        <v>65</v>
      </c>
      <c r="B94" t="s">
        <v>66</v>
      </c>
      <c r="C94" s="16">
        <f t="shared" ref="C94:C117" si="1">$B$47*C65</f>
        <v>1.9495669802046635E-3</v>
      </c>
      <c r="D94" s="16">
        <f t="shared" ref="D94:D116" si="2">$B$49*D65</f>
        <v>5.090995369349212</v>
      </c>
      <c r="E94" s="16">
        <f t="shared" ref="E94:E117" si="3">$B$51*E65</f>
        <v>0.19291730743171473</v>
      </c>
      <c r="F94" s="16">
        <f t="shared" ref="F94:F117" si="4">$B$52*F65</f>
        <v>0.35013285059049398</v>
      </c>
      <c r="G94" s="16">
        <f t="shared" ref="G94:G117" si="5">$B$57*H65</f>
        <v>0.1561992187542191</v>
      </c>
      <c r="H94" s="16">
        <f t="shared" ref="H94:H117" si="6">$B$58*I65*0.001</f>
        <v>0</v>
      </c>
      <c r="I94" s="16">
        <f t="shared" ref="I94:I117" si="7">$B$46*K65</f>
        <v>4.8468108718403694E-2</v>
      </c>
    </row>
    <row r="95" spans="1:12" x14ac:dyDescent="0.25">
      <c r="A95" t="s">
        <v>174</v>
      </c>
      <c r="B95" t="s">
        <v>66</v>
      </c>
      <c r="C95" s="16">
        <f t="shared" si="1"/>
        <v>1.5616297909256185E-4</v>
      </c>
      <c r="D95" s="16">
        <f t="shared" si="2"/>
        <v>6.1031057953194812E-4</v>
      </c>
      <c r="E95" s="16">
        <f t="shared" si="3"/>
        <v>2.0195990538910788E-5</v>
      </c>
      <c r="F95" s="16">
        <f t="shared" si="4"/>
        <v>2.1420192605623838E-5</v>
      </c>
      <c r="G95" s="16">
        <f t="shared" si="5"/>
        <v>5.1504721565714853E-5</v>
      </c>
      <c r="H95" s="16">
        <f t="shared" si="6"/>
        <v>0</v>
      </c>
      <c r="I95" s="16">
        <f t="shared" si="7"/>
        <v>2.9714183432914674E-4</v>
      </c>
    </row>
    <row r="96" spans="1:12" x14ac:dyDescent="0.25">
      <c r="A96" t="s">
        <v>175</v>
      </c>
      <c r="B96" t="s">
        <v>66</v>
      </c>
      <c r="C96" s="16">
        <f t="shared" si="1"/>
        <v>1.7909401454659231E-3</v>
      </c>
      <c r="D96" s="16">
        <f t="shared" si="2"/>
        <v>5.0898239443934212</v>
      </c>
      <c r="E96" s="16">
        <f t="shared" si="3"/>
        <v>0.19288339169128721</v>
      </c>
      <c r="F96" s="16">
        <f t="shared" si="4"/>
        <v>0.35010697369159899</v>
      </c>
      <c r="G96" s="16">
        <f t="shared" si="5"/>
        <v>0.15610944193960813</v>
      </c>
      <c r="H96" s="16">
        <f t="shared" si="6"/>
        <v>0</v>
      </c>
      <c r="I96" s="16">
        <f t="shared" si="7"/>
        <v>4.8112622154105701E-2</v>
      </c>
    </row>
    <row r="97" spans="1:9" x14ac:dyDescent="0.25">
      <c r="A97" t="s">
        <v>176</v>
      </c>
      <c r="B97" t="s">
        <v>66</v>
      </c>
      <c r="C97" s="16">
        <f t="shared" si="1"/>
        <v>2.4638556461786495E-6</v>
      </c>
      <c r="D97" s="16">
        <f t="shared" si="2"/>
        <v>5.6111437625902842E-4</v>
      </c>
      <c r="E97" s="16">
        <f t="shared" si="3"/>
        <v>1.3719749888632469E-5</v>
      </c>
      <c r="F97" s="16">
        <f t="shared" si="4"/>
        <v>4.4567062893168482E-6</v>
      </c>
      <c r="G97" s="16">
        <f t="shared" si="5"/>
        <v>3.8272093045268629E-5</v>
      </c>
      <c r="H97" s="16">
        <f t="shared" si="6"/>
        <v>0</v>
      </c>
      <c r="I97" s="16">
        <f t="shared" si="7"/>
        <v>5.8344729968845626E-5</v>
      </c>
    </row>
    <row r="98" spans="1:9" x14ac:dyDescent="0.25">
      <c r="A98" t="s">
        <v>177</v>
      </c>
      <c r="B98" t="s">
        <v>178</v>
      </c>
      <c r="C98" s="16">
        <f t="shared" si="1"/>
        <v>0.22781515468691779</v>
      </c>
      <c r="D98" s="16">
        <f t="shared" si="2"/>
        <v>7.1394537485134801</v>
      </c>
      <c r="E98" s="16">
        <f t="shared" si="3"/>
        <v>1.5053281126320599</v>
      </c>
      <c r="F98" s="16">
        <f t="shared" si="4"/>
        <v>0.74976220716349873</v>
      </c>
      <c r="G98" s="16">
        <f t="shared" si="5"/>
        <v>2.3912519319612349</v>
      </c>
      <c r="H98" s="16">
        <f t="shared" si="6"/>
        <v>0</v>
      </c>
      <c r="I98" s="16">
        <f t="shared" si="7"/>
        <v>1.5345456279530014</v>
      </c>
    </row>
    <row r="99" spans="1:9" x14ac:dyDescent="0.25">
      <c r="A99" t="s">
        <v>179</v>
      </c>
      <c r="B99" t="s">
        <v>178</v>
      </c>
      <c r="C99" s="16">
        <f t="shared" si="1"/>
        <v>0.22677303200265</v>
      </c>
      <c r="D99" s="16">
        <f t="shared" si="2"/>
        <v>5.6220405640155411</v>
      </c>
      <c r="E99" s="16">
        <f t="shared" si="3"/>
        <v>1.5001592235808352</v>
      </c>
      <c r="F99" s="16">
        <f t="shared" si="4"/>
        <v>0.74689758879479662</v>
      </c>
      <c r="G99" s="16">
        <f t="shared" si="5"/>
        <v>2.3768266914059235</v>
      </c>
      <c r="H99" s="16">
        <f t="shared" si="6"/>
        <v>0</v>
      </c>
      <c r="I99" s="16">
        <f t="shared" si="7"/>
        <v>1.5065318877524385</v>
      </c>
    </row>
    <row r="100" spans="1:9" x14ac:dyDescent="0.25">
      <c r="A100" t="s">
        <v>180</v>
      </c>
      <c r="B100" t="s">
        <v>178</v>
      </c>
      <c r="C100" s="16">
        <f t="shared" si="1"/>
        <v>1.0421226842679421E-3</v>
      </c>
      <c r="D100" s="16">
        <f t="shared" si="2"/>
        <v>1.5174131844979444</v>
      </c>
      <c r="E100" s="16">
        <f t="shared" si="3"/>
        <v>5.1688890512230695E-3</v>
      </c>
      <c r="F100" s="16">
        <f t="shared" si="4"/>
        <v>2.8646183687018332E-3</v>
      </c>
      <c r="G100" s="16">
        <f t="shared" si="5"/>
        <v>1.4425240555315424E-2</v>
      </c>
      <c r="H100" s="16">
        <f t="shared" si="6"/>
        <v>0</v>
      </c>
      <c r="I100" s="16">
        <f t="shared" si="7"/>
        <v>2.8013740200564449E-2</v>
      </c>
    </row>
    <row r="101" spans="1:9" x14ac:dyDescent="0.25">
      <c r="A101" t="s">
        <v>181</v>
      </c>
      <c r="B101" t="s">
        <v>182</v>
      </c>
      <c r="C101" s="16">
        <f t="shared" si="1"/>
        <v>2.4131040423468721E-2</v>
      </c>
      <c r="D101" s="16">
        <f t="shared" si="2"/>
        <v>117.91216639171363</v>
      </c>
      <c r="E101" s="16">
        <f t="shared" si="3"/>
        <v>0.28900079676859664</v>
      </c>
      <c r="F101" s="16">
        <f t="shared" si="4"/>
        <v>0.11797032875679653</v>
      </c>
      <c r="G101" s="16">
        <f t="shared" si="5"/>
        <v>0.7639759221601865</v>
      </c>
      <c r="H101" s="16">
        <f t="shared" si="6"/>
        <v>0</v>
      </c>
      <c r="I101" s="16">
        <f t="shared" si="7"/>
        <v>0.58963549784474478</v>
      </c>
    </row>
    <row r="102" spans="1:9" x14ac:dyDescent="0.25">
      <c r="A102" t="s">
        <v>183</v>
      </c>
      <c r="B102" t="s">
        <v>67</v>
      </c>
      <c r="C102" s="16">
        <f t="shared" si="1"/>
        <v>6.9944018254267674E-7</v>
      </c>
      <c r="D102" s="16">
        <f t="shared" si="2"/>
        <v>1.0081577365193052E-3</v>
      </c>
      <c r="E102" s="16">
        <f t="shared" si="3"/>
        <v>2.7163590847529354E-5</v>
      </c>
      <c r="F102" s="16">
        <f t="shared" si="4"/>
        <v>1.3149282126293535E-6</v>
      </c>
      <c r="G102" s="16">
        <f t="shared" si="5"/>
        <v>4.2726051756725916E-5</v>
      </c>
      <c r="H102" s="16">
        <f t="shared" si="6"/>
        <v>0</v>
      </c>
      <c r="I102" s="16">
        <f t="shared" si="7"/>
        <v>4.4229957725184003E-5</v>
      </c>
    </row>
    <row r="103" spans="1:9" x14ac:dyDescent="0.25">
      <c r="A103" t="s">
        <v>184</v>
      </c>
      <c r="B103" t="s">
        <v>68</v>
      </c>
      <c r="C103" s="16">
        <f t="shared" si="1"/>
        <v>1.7806574937562808E-6</v>
      </c>
      <c r="D103" s="16">
        <f t="shared" si="2"/>
        <v>3.0002673064948191E-3</v>
      </c>
      <c r="E103" s="16">
        <f t="shared" si="3"/>
        <v>4.2412238080285155E-5</v>
      </c>
      <c r="F103" s="16">
        <f t="shared" si="4"/>
        <v>2.1435482254276249E-4</v>
      </c>
      <c r="G103" s="16">
        <f t="shared" si="5"/>
        <v>5.4732016068256816E-5</v>
      </c>
      <c r="H103" s="16">
        <f>$B$58*I74*0.001</f>
        <v>0</v>
      </c>
      <c r="I103" s="16">
        <f t="shared" si="7"/>
        <v>1.8813038877912194E-4</v>
      </c>
    </row>
    <row r="104" spans="1:9" x14ac:dyDescent="0.25">
      <c r="A104" t="s">
        <v>185</v>
      </c>
      <c r="B104" t="s">
        <v>186</v>
      </c>
      <c r="C104" s="16">
        <f t="shared" si="1"/>
        <v>1.8094082255073507E-5</v>
      </c>
      <c r="D104" s="16">
        <f t="shared" si="2"/>
        <v>3.0413757652612398E-2</v>
      </c>
      <c r="E104" s="16">
        <f t="shared" si="3"/>
        <v>3.6148026590525871E-4</v>
      </c>
      <c r="F104" s="16">
        <f t="shared" si="4"/>
        <v>4.7674801824287638E-4</v>
      </c>
      <c r="G104" s="16">
        <f t="shared" si="5"/>
        <v>5.323769234247802E-4</v>
      </c>
      <c r="H104" s="16">
        <f t="shared" si="6"/>
        <v>0</v>
      </c>
      <c r="I104" s="16">
        <f t="shared" si="7"/>
        <v>1.2515734548294909E-3</v>
      </c>
    </row>
    <row r="105" spans="1:9" x14ac:dyDescent="0.25">
      <c r="A105" t="s">
        <v>187</v>
      </c>
      <c r="B105" t="s">
        <v>188</v>
      </c>
      <c r="C105" s="16">
        <f t="shared" si="1"/>
        <v>1.7255359512482541E-12</v>
      </c>
      <c r="D105" s="16">
        <f t="shared" si="2"/>
        <v>8.1782561388117118E-10</v>
      </c>
      <c r="E105" s="16">
        <f t="shared" si="3"/>
        <v>2.1289496074498867E-11</v>
      </c>
      <c r="F105" s="16">
        <f t="shared" si="4"/>
        <v>6.0197374858561279E-11</v>
      </c>
      <c r="G105" s="16">
        <f t="shared" si="5"/>
        <v>9.4213650960174702E-11</v>
      </c>
      <c r="H105" s="16">
        <f t="shared" si="6"/>
        <v>0</v>
      </c>
      <c r="I105" s="16">
        <f t="shared" si="7"/>
        <v>6.7084260739748545E-11</v>
      </c>
    </row>
    <row r="106" spans="1:9" x14ac:dyDescent="0.25">
      <c r="A106" t="s">
        <v>189</v>
      </c>
      <c r="B106" t="s">
        <v>188</v>
      </c>
      <c r="C106" s="16">
        <f t="shared" si="1"/>
        <v>1.106154329941229E-12</v>
      </c>
      <c r="D106" s="16">
        <f t="shared" si="2"/>
        <v>4.1249296473631515E-10</v>
      </c>
      <c r="E106" s="16">
        <f t="shared" si="3"/>
        <v>7.2392091219791272E-12</v>
      </c>
      <c r="F106" s="16">
        <f t="shared" si="4"/>
        <v>2.8583872116601495E-11</v>
      </c>
      <c r="G106" s="16">
        <f t="shared" si="5"/>
        <v>8.0439499765189485E-11</v>
      </c>
      <c r="H106" s="16">
        <f t="shared" si="6"/>
        <v>0</v>
      </c>
      <c r="I106" s="16">
        <f t="shared" si="7"/>
        <v>5.4855634294425754E-11</v>
      </c>
    </row>
    <row r="107" spans="1:9" x14ac:dyDescent="0.25">
      <c r="A107" t="s">
        <v>190</v>
      </c>
      <c r="B107" t="s">
        <v>188</v>
      </c>
      <c r="C107" s="16">
        <f t="shared" si="1"/>
        <v>6.1938162130702475E-13</v>
      </c>
      <c r="D107" s="16">
        <f t="shared" si="2"/>
        <v>4.0533264914485619E-10</v>
      </c>
      <c r="E107" s="16">
        <f t="shared" si="3"/>
        <v>1.4050286952519743E-11</v>
      </c>
      <c r="F107" s="16">
        <f t="shared" si="4"/>
        <v>3.1613502741959768E-11</v>
      </c>
      <c r="G107" s="16">
        <f t="shared" si="5"/>
        <v>1.3774151194985245E-11</v>
      </c>
      <c r="H107" s="16">
        <f t="shared" si="6"/>
        <v>0</v>
      </c>
      <c r="I107" s="16">
        <f t="shared" si="7"/>
        <v>1.2228626445322772E-11</v>
      </c>
    </row>
    <row r="108" spans="1:9" x14ac:dyDescent="0.25">
      <c r="A108" t="s">
        <v>191</v>
      </c>
      <c r="B108" t="s">
        <v>188</v>
      </c>
      <c r="C108" s="16">
        <f t="shared" si="1"/>
        <v>4.0619072402026953E-11</v>
      </c>
      <c r="D108" s="16">
        <f t="shared" si="2"/>
        <v>1.7946050653670648E-8</v>
      </c>
      <c r="E108" s="16">
        <f t="shared" si="3"/>
        <v>2.7875078648658628E-10</v>
      </c>
      <c r="F108" s="16">
        <f t="shared" si="4"/>
        <v>1.1679980118374561E-9</v>
      </c>
      <c r="G108" s="16">
        <f t="shared" si="5"/>
        <v>7.4729060238175821E-10</v>
      </c>
      <c r="H108" s="16">
        <f t="shared" si="6"/>
        <v>0</v>
      </c>
      <c r="I108" s="16">
        <f t="shared" si="7"/>
        <v>2.2926532648117745E-9</v>
      </c>
    </row>
    <row r="109" spans="1:9" x14ac:dyDescent="0.25">
      <c r="A109" t="s">
        <v>192</v>
      </c>
      <c r="B109" t="s">
        <v>188</v>
      </c>
      <c r="C109" s="16">
        <f t="shared" si="1"/>
        <v>3.895493698270318E-11</v>
      </c>
      <c r="D109" s="16">
        <f t="shared" si="2"/>
        <v>1.7158912705663314E-8</v>
      </c>
      <c r="E109" s="16">
        <f t="shared" si="3"/>
        <v>2.6946100822850702E-10</v>
      </c>
      <c r="F109" s="16">
        <f t="shared" si="4"/>
        <v>1.15166020302448E-9</v>
      </c>
      <c r="G109" s="16">
        <f t="shared" si="5"/>
        <v>7.1995425661773192E-10</v>
      </c>
      <c r="H109" s="16">
        <f t="shared" si="6"/>
        <v>0</v>
      </c>
      <c r="I109" s="16">
        <f t="shared" si="7"/>
        <v>2.2495227891390461E-9</v>
      </c>
    </row>
    <row r="110" spans="1:9" x14ac:dyDescent="0.25">
      <c r="A110" t="s">
        <v>193</v>
      </c>
      <c r="B110" t="s">
        <v>188</v>
      </c>
      <c r="C110" s="16">
        <f t="shared" si="1"/>
        <v>1.6641354193238022E-12</v>
      </c>
      <c r="D110" s="16">
        <f t="shared" si="2"/>
        <v>7.8713794800734858E-10</v>
      </c>
      <c r="E110" s="16">
        <f>$B$51*E81</f>
        <v>9.2897782580792191E-12</v>
      </c>
      <c r="F110" s="16">
        <f t="shared" si="4"/>
        <v>1.6337808812976238E-11</v>
      </c>
      <c r="G110" s="16">
        <f t="shared" si="5"/>
        <v>2.7336345764026497E-11</v>
      </c>
      <c r="H110" s="16">
        <f t="shared" si="6"/>
        <v>0</v>
      </c>
      <c r="I110" s="16">
        <f t="shared" si="7"/>
        <v>4.3130475672730334E-11</v>
      </c>
    </row>
    <row r="111" spans="1:9" x14ac:dyDescent="0.25">
      <c r="A111" t="s">
        <v>194</v>
      </c>
      <c r="B111" t="s">
        <v>195</v>
      </c>
      <c r="C111" s="16">
        <f t="shared" si="1"/>
        <v>2.0426034491081155E-4</v>
      </c>
      <c r="D111" s="16">
        <f t="shared" si="2"/>
        <v>3.437929734686437</v>
      </c>
      <c r="E111" s="16">
        <f t="shared" si="3"/>
        <v>1.013637689434171E-3</v>
      </c>
      <c r="F111" s="16">
        <f t="shared" si="4"/>
        <v>2.0306628182655153E-4</v>
      </c>
      <c r="G111" s="16">
        <f t="shared" si="5"/>
        <v>2.790750739251648E-3</v>
      </c>
      <c r="H111" s="16">
        <f t="shared" si="6"/>
        <v>0</v>
      </c>
      <c r="I111" s="16">
        <f t="shared" si="7"/>
        <v>2.7187158784611771E-3</v>
      </c>
    </row>
    <row r="112" spans="1:9" x14ac:dyDescent="0.25">
      <c r="A112" t="s">
        <v>196</v>
      </c>
      <c r="B112" t="s">
        <v>197</v>
      </c>
      <c r="C112" s="16">
        <f t="shared" si="1"/>
        <v>7.7930648881639935E-3</v>
      </c>
      <c r="D112" s="16">
        <f t="shared" si="2"/>
        <v>15.809297079787676</v>
      </c>
      <c r="E112" s="16">
        <f t="shared" si="3"/>
        <v>5.3007422789983404E-2</v>
      </c>
      <c r="F112" s="16">
        <f t="shared" si="4"/>
        <v>8.8362719939245202E-2</v>
      </c>
      <c r="G112" s="16">
        <f t="shared" si="5"/>
        <v>0.14049530550490733</v>
      </c>
      <c r="H112" s="16">
        <f t="shared" si="6"/>
        <v>0</v>
      </c>
      <c r="I112" s="16">
        <f t="shared" si="7"/>
        <v>0.6648228737153683</v>
      </c>
    </row>
    <row r="113" spans="1:21" x14ac:dyDescent="0.25">
      <c r="A113" t="s">
        <v>198</v>
      </c>
      <c r="B113" t="s">
        <v>199</v>
      </c>
      <c r="C113" s="16">
        <f t="shared" si="1"/>
        <v>3.8662035043274695E-8</v>
      </c>
      <c r="D113" s="16">
        <f t="shared" si="2"/>
        <v>7.3912010840294231E-6</v>
      </c>
      <c r="E113" s="16">
        <f t="shared" si="3"/>
        <v>1.4269303644506763E-7</v>
      </c>
      <c r="F113" s="16">
        <f t="shared" si="4"/>
        <v>3.2619444088283384E-8</v>
      </c>
      <c r="G113" s="16">
        <f t="shared" si="5"/>
        <v>3.8135251161231822E-7</v>
      </c>
      <c r="H113" s="16">
        <f t="shared" si="6"/>
        <v>0</v>
      </c>
      <c r="I113" s="16">
        <f t="shared" si="7"/>
        <v>1.3163822323919413E-6</v>
      </c>
    </row>
    <row r="114" spans="1:21" x14ac:dyDescent="0.25">
      <c r="A114" t="s">
        <v>200</v>
      </c>
      <c r="B114" t="s">
        <v>69</v>
      </c>
      <c r="C114" s="16">
        <f t="shared" si="1"/>
        <v>1.0008118271759151E-9</v>
      </c>
      <c r="D114" s="16">
        <f t="shared" si="2"/>
        <v>2.6334470258516841E-7</v>
      </c>
      <c r="E114" s="16">
        <f t="shared" si="3"/>
        <v>3.6775299314966796E-9</v>
      </c>
      <c r="F114" s="16">
        <f t="shared" si="4"/>
        <v>4.2033134595976389E-10</v>
      </c>
      <c r="G114" s="16">
        <f t="shared" si="5"/>
        <v>1.0298638245303578E-8</v>
      </c>
      <c r="H114" s="16">
        <f t="shared" si="6"/>
        <v>0</v>
      </c>
      <c r="I114" s="16">
        <f t="shared" si="7"/>
        <v>7.8355810008676736E-10</v>
      </c>
    </row>
    <row r="115" spans="1:21" x14ac:dyDescent="0.25">
      <c r="A115" t="s">
        <v>201</v>
      </c>
      <c r="B115" t="s">
        <v>202</v>
      </c>
      <c r="C115" s="16">
        <f t="shared" si="1"/>
        <v>1.6837580049907448E-10</v>
      </c>
      <c r="D115" s="16">
        <f t="shared" si="2"/>
        <v>5.8241455973423923E-8</v>
      </c>
      <c r="E115" s="16">
        <f t="shared" si="3"/>
        <v>1.6482416384630214E-9</v>
      </c>
      <c r="F115" s="16">
        <f t="shared" si="4"/>
        <v>2.7699426242989736E-9</v>
      </c>
      <c r="G115" s="16">
        <f t="shared" si="5"/>
        <v>2.3921101337961724E-9</v>
      </c>
      <c r="H115" s="16">
        <f>$B$58*I86*0.001</f>
        <v>0</v>
      </c>
      <c r="I115" s="16">
        <f t="shared" si="7"/>
        <v>5.5582657328686035E-9</v>
      </c>
      <c r="L115" s="38"/>
      <c r="M115" s="38"/>
      <c r="N115" s="38"/>
      <c r="O115" s="38"/>
      <c r="P115" s="38"/>
      <c r="Q115" s="38"/>
      <c r="R115" s="38"/>
      <c r="S115" s="38"/>
    </row>
    <row r="116" spans="1:21" x14ac:dyDescent="0.25">
      <c r="A116" t="s">
        <v>203</v>
      </c>
      <c r="B116" t="s">
        <v>204</v>
      </c>
      <c r="C116" s="16">
        <f t="shared" si="1"/>
        <v>6.7007335904830249E-6</v>
      </c>
      <c r="D116" s="16">
        <f t="shared" si="2"/>
        <v>1.0084740092268138E-2</v>
      </c>
      <c r="E116" s="16">
        <f t="shared" si="3"/>
        <v>1.0675010519075931E-4</v>
      </c>
      <c r="F116" s="16">
        <f t="shared" si="4"/>
        <v>1.3124981368123332E-4</v>
      </c>
      <c r="G116" s="16">
        <f t="shared" si="5"/>
        <v>1.9946490653053228E-4</v>
      </c>
      <c r="H116" s="16">
        <f t="shared" si="6"/>
        <v>0</v>
      </c>
      <c r="I116" s="16">
        <f t="shared" si="7"/>
        <v>2.4747081748546242E-4</v>
      </c>
      <c r="L116" s="38"/>
      <c r="M116" s="38"/>
      <c r="N116" s="38"/>
      <c r="O116" s="38"/>
      <c r="P116" s="38"/>
      <c r="Q116" s="38"/>
      <c r="R116" s="38"/>
      <c r="S116" s="38"/>
    </row>
    <row r="117" spans="1:21" x14ac:dyDescent="0.25">
      <c r="A117" t="s">
        <v>205</v>
      </c>
      <c r="B117" t="s">
        <v>206</v>
      </c>
      <c r="C117" s="16">
        <f t="shared" si="1"/>
        <v>4.4969248291512496E-3</v>
      </c>
      <c r="D117" s="16">
        <f t="shared" ref="D117" si="8">$B$49*D88</f>
        <v>0.80220435861659056</v>
      </c>
      <c r="E117" s="16">
        <f t="shared" si="3"/>
        <v>1.0376184555556318E-2</v>
      </c>
      <c r="F117" s="16">
        <f t="shared" si="4"/>
        <v>1.365928365502337E-2</v>
      </c>
      <c r="G117" s="40">
        <f t="shared" si="5"/>
        <v>2.2563635642370069E-2</v>
      </c>
      <c r="H117" s="40">
        <f t="shared" si="6"/>
        <v>0</v>
      </c>
      <c r="I117" s="40">
        <f t="shared" si="7"/>
        <v>3.9982556780892312E-2</v>
      </c>
      <c r="L117" s="38"/>
      <c r="M117" s="38"/>
      <c r="N117" s="38"/>
      <c r="O117" s="38"/>
      <c r="P117" s="38"/>
      <c r="Q117" s="38"/>
      <c r="R117" s="38"/>
      <c r="S117" s="38"/>
    </row>
    <row r="118" spans="1:21" x14ac:dyDescent="0.25">
      <c r="G118" s="38"/>
      <c r="H118" s="38"/>
      <c r="I118" s="41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</row>
    <row r="119" spans="1:21" x14ac:dyDescent="0.25"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</row>
    <row r="120" spans="1:21" ht="18" thickBot="1" x14ac:dyDescent="0.35">
      <c r="A120" s="4" t="s">
        <v>79</v>
      </c>
      <c r="B120" s="4"/>
      <c r="C120" s="13"/>
      <c r="D120" s="13"/>
      <c r="E120" s="13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</row>
    <row r="121" spans="1:21" ht="16.5" thickTop="1" x14ac:dyDescent="0.25">
      <c r="A121" s="3" t="s">
        <v>56</v>
      </c>
      <c r="B121" s="13"/>
      <c r="C121" s="13"/>
      <c r="D121" s="13"/>
      <c r="E121" s="13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</row>
    <row r="122" spans="1:21" x14ac:dyDescent="0.25">
      <c r="L122" s="38"/>
      <c r="M122" s="38"/>
      <c r="N122" s="38"/>
      <c r="O122" s="38"/>
      <c r="P122" s="38"/>
      <c r="Q122" s="38"/>
      <c r="R122" s="38"/>
      <c r="S122" s="38"/>
      <c r="T122" s="38"/>
      <c r="U122" s="38"/>
    </row>
    <row r="123" spans="1:21" x14ac:dyDescent="0.25">
      <c r="A123" s="5" t="s">
        <v>57</v>
      </c>
      <c r="B123" s="5" t="s">
        <v>58</v>
      </c>
      <c r="C123" s="5" t="s">
        <v>80</v>
      </c>
      <c r="D123" s="5" t="s">
        <v>81</v>
      </c>
      <c r="E123" s="5" t="s">
        <v>82</v>
      </c>
      <c r="F123" s="5"/>
      <c r="G123" s="5"/>
      <c r="H123" s="5"/>
      <c r="L123" s="38"/>
      <c r="M123" s="38"/>
      <c r="N123" s="38"/>
      <c r="O123" s="38"/>
      <c r="P123" s="38"/>
      <c r="Q123" s="38"/>
      <c r="R123" s="38"/>
      <c r="S123" s="38"/>
      <c r="T123" s="38"/>
      <c r="U123" s="38"/>
    </row>
    <row r="124" spans="1:21" x14ac:dyDescent="0.25">
      <c r="A124" t="s">
        <v>172</v>
      </c>
      <c r="B124" t="s">
        <v>173</v>
      </c>
      <c r="C124" s="5">
        <v>0.10256459422259295</v>
      </c>
      <c r="D124" s="5">
        <v>0.58749405299425073</v>
      </c>
      <c r="E124" s="5">
        <v>1.0387114286396215E-2</v>
      </c>
      <c r="F124" s="5"/>
      <c r="G124" s="5"/>
      <c r="H124" s="5"/>
      <c r="L124" s="38"/>
      <c r="M124" s="38"/>
      <c r="N124" s="38"/>
      <c r="O124" s="38"/>
      <c r="P124" s="38"/>
      <c r="Q124" s="38"/>
      <c r="R124" s="38"/>
      <c r="S124" s="38"/>
      <c r="T124" s="38"/>
      <c r="U124" s="38"/>
    </row>
    <row r="125" spans="1:21" x14ac:dyDescent="0.25">
      <c r="A125" t="s">
        <v>65</v>
      </c>
      <c r="B125" t="s">
        <v>66</v>
      </c>
      <c r="C125" s="5">
        <v>15.649345602934506</v>
      </c>
      <c r="D125" s="5">
        <v>8.6332815325184775</v>
      </c>
      <c r="E125" s="5">
        <v>1.5951529423415995</v>
      </c>
      <c r="F125" s="5"/>
      <c r="G125" s="5"/>
      <c r="H125" s="5"/>
      <c r="L125" s="38"/>
      <c r="M125" s="38"/>
      <c r="N125" s="38"/>
      <c r="O125" s="38"/>
      <c r="P125" s="38"/>
      <c r="Q125" s="38"/>
      <c r="R125" s="38"/>
      <c r="S125" s="38"/>
      <c r="T125" s="38"/>
      <c r="U125" s="38"/>
    </row>
    <row r="126" spans="1:21" x14ac:dyDescent="0.25">
      <c r="A126" t="s">
        <v>174</v>
      </c>
      <c r="B126" t="s">
        <v>66</v>
      </c>
      <c r="C126" s="5">
        <v>2.296250143372287E-2</v>
      </c>
      <c r="D126" s="5">
        <v>3.4777896412578509E-2</v>
      </c>
      <c r="E126" s="5">
        <v>2.1393481516616131E-3</v>
      </c>
      <c r="F126" s="5"/>
      <c r="G126" s="5"/>
      <c r="H126" s="5"/>
      <c r="L126" s="38"/>
      <c r="M126" s="38"/>
      <c r="N126" s="38"/>
      <c r="O126" s="38"/>
      <c r="P126" s="38"/>
      <c r="Q126" s="38"/>
      <c r="R126" s="38"/>
      <c r="S126" s="38"/>
      <c r="T126" s="38"/>
      <c r="U126" s="38"/>
    </row>
    <row r="127" spans="1:21" x14ac:dyDescent="0.25">
      <c r="A127" t="s">
        <v>175</v>
      </c>
      <c r="B127" t="s">
        <v>66</v>
      </c>
      <c r="C127" s="5">
        <v>15.584381897372543</v>
      </c>
      <c r="D127" s="5">
        <v>8.5832331748444908</v>
      </c>
      <c r="E127" s="5">
        <v>1.5906360336957315</v>
      </c>
      <c r="F127" s="5"/>
      <c r="G127" s="5"/>
      <c r="H127" s="5"/>
      <c r="L127" s="38"/>
      <c r="M127" s="38"/>
      <c r="N127" s="38"/>
      <c r="O127" s="38"/>
      <c r="P127" s="38"/>
      <c r="Q127" s="38"/>
      <c r="R127" s="38"/>
      <c r="S127" s="38"/>
      <c r="T127" s="38"/>
      <c r="U127" s="38"/>
    </row>
    <row r="128" spans="1:21" x14ac:dyDescent="0.25">
      <c r="A128" t="s">
        <v>176</v>
      </c>
      <c r="B128" t="s">
        <v>66</v>
      </c>
      <c r="C128" s="5">
        <v>4.2001204128241668E-2</v>
      </c>
      <c r="D128" s="5">
        <v>1.5270461261407664E-2</v>
      </c>
      <c r="E128" s="5">
        <v>2.3775604942064292E-3</v>
      </c>
      <c r="F128" s="5"/>
      <c r="G128" s="5"/>
      <c r="H128" s="5"/>
      <c r="L128" s="38"/>
      <c r="M128" s="38"/>
      <c r="N128" s="38"/>
      <c r="O128" s="38"/>
      <c r="P128" s="38"/>
      <c r="Q128" s="38"/>
      <c r="R128" s="38"/>
      <c r="S128" s="38"/>
      <c r="T128" s="38"/>
      <c r="U128" s="38"/>
    </row>
    <row r="129" spans="1:21" x14ac:dyDescent="0.25">
      <c r="A129" t="s">
        <v>177</v>
      </c>
      <c r="B129" t="s">
        <v>178</v>
      </c>
      <c r="C129" s="5">
        <v>55.898317834545473</v>
      </c>
      <c r="D129" s="5">
        <v>673.56977155388222</v>
      </c>
      <c r="E129" s="5">
        <v>10.628984234907106</v>
      </c>
      <c r="F129" s="5"/>
      <c r="G129" s="5"/>
      <c r="H129" s="5"/>
      <c r="L129" s="38"/>
      <c r="M129" s="38"/>
      <c r="N129" s="38"/>
      <c r="O129" s="38"/>
      <c r="P129" s="38"/>
      <c r="Q129" s="38"/>
      <c r="R129" s="38"/>
      <c r="S129" s="38"/>
      <c r="T129" s="38"/>
      <c r="U129" s="38"/>
    </row>
    <row r="130" spans="1:21" x14ac:dyDescent="0.25">
      <c r="A130" t="s">
        <v>179</v>
      </c>
      <c r="B130" t="s">
        <v>178</v>
      </c>
      <c r="C130" s="5">
        <v>51.197682030164493</v>
      </c>
      <c r="D130" s="5">
        <v>670.77161273677177</v>
      </c>
      <c r="E130" s="5">
        <v>10.206532798813759</v>
      </c>
      <c r="F130" s="5"/>
      <c r="G130" s="5"/>
      <c r="H130" s="5"/>
      <c r="L130" s="38"/>
      <c r="M130" s="38"/>
      <c r="N130" s="38"/>
      <c r="O130" s="38"/>
      <c r="P130" s="38"/>
      <c r="Q130" s="38"/>
      <c r="R130" s="38"/>
      <c r="S130" s="38"/>
      <c r="T130" s="38"/>
      <c r="U130" s="38"/>
    </row>
    <row r="131" spans="1:21" x14ac:dyDescent="0.25">
      <c r="A131" t="s">
        <v>180</v>
      </c>
      <c r="B131" t="s">
        <v>178</v>
      </c>
      <c r="C131" s="5">
        <v>4.7006358043810437</v>
      </c>
      <c r="D131" s="5">
        <v>2.7981588171104486</v>
      </c>
      <c r="E131" s="5">
        <v>0.42245143609335811</v>
      </c>
      <c r="F131" s="5"/>
      <c r="G131" s="5"/>
      <c r="H131" s="5"/>
      <c r="L131" s="38"/>
      <c r="M131" s="38"/>
      <c r="N131" s="38"/>
      <c r="O131" s="38"/>
      <c r="P131" s="38"/>
      <c r="Q131" s="38"/>
      <c r="R131" s="38"/>
      <c r="S131" s="38"/>
      <c r="T131" s="38"/>
      <c r="U131" s="38"/>
    </row>
    <row r="132" spans="1:21" x14ac:dyDescent="0.25">
      <c r="A132" t="s">
        <v>181</v>
      </c>
      <c r="B132" t="s">
        <v>182</v>
      </c>
      <c r="C132" s="5">
        <v>147.06269699914318</v>
      </c>
      <c r="D132" s="5">
        <v>99.3153029238551</v>
      </c>
      <c r="E132" s="5">
        <v>47.393268025670253</v>
      </c>
      <c r="F132" s="5"/>
      <c r="G132" s="5"/>
      <c r="H132" s="5"/>
      <c r="L132" s="38"/>
      <c r="M132" s="38"/>
      <c r="N132" s="38"/>
      <c r="O132" s="38"/>
      <c r="P132" s="38"/>
      <c r="Q132" s="38"/>
      <c r="R132" s="38"/>
      <c r="S132" s="38"/>
      <c r="T132" s="38"/>
      <c r="U132" s="38"/>
    </row>
    <row r="133" spans="1:21" x14ac:dyDescent="0.25">
      <c r="A133" t="s">
        <v>183</v>
      </c>
      <c r="B133" t="s">
        <v>67</v>
      </c>
      <c r="C133" s="5">
        <v>5.1086783277864579E-3</v>
      </c>
      <c r="D133" s="5">
        <v>4.6086891712159871E-2</v>
      </c>
      <c r="E133" s="5">
        <v>1.9426190290390743E-3</v>
      </c>
      <c r="F133" s="5"/>
      <c r="G133" s="5"/>
      <c r="H133" s="5"/>
      <c r="L133" s="38"/>
      <c r="M133" s="38"/>
      <c r="N133" s="38"/>
      <c r="O133" s="38"/>
      <c r="P133" s="38"/>
      <c r="Q133" s="38"/>
      <c r="R133" s="38"/>
      <c r="S133" s="38"/>
      <c r="T133" s="38"/>
      <c r="U133" s="38"/>
    </row>
    <row r="134" spans="1:21" x14ac:dyDescent="0.25">
      <c r="A134" t="s">
        <v>184</v>
      </c>
      <c r="B134" t="s">
        <v>68</v>
      </c>
      <c r="C134" s="5">
        <v>1.6550218388261928E-2</v>
      </c>
      <c r="D134" s="5">
        <v>2.9407779776040751E-2</v>
      </c>
      <c r="E134" s="5">
        <v>2.1128376567114862E-3</v>
      </c>
      <c r="F134" s="5"/>
      <c r="G134" s="5"/>
      <c r="H134" s="5"/>
      <c r="L134" s="38"/>
      <c r="M134" s="38"/>
      <c r="N134" s="38"/>
      <c r="O134" s="38"/>
      <c r="P134" s="38"/>
      <c r="Q134" s="38"/>
      <c r="R134" s="38"/>
      <c r="S134" s="38"/>
      <c r="T134" s="38"/>
      <c r="U134" s="38"/>
    </row>
    <row r="135" spans="1:21" x14ac:dyDescent="0.25">
      <c r="A135" t="s">
        <v>185</v>
      </c>
      <c r="B135" t="s">
        <v>186</v>
      </c>
      <c r="C135" s="5">
        <v>0.17195032103977675</v>
      </c>
      <c r="D135" s="5">
        <v>0.40761470272968248</v>
      </c>
      <c r="E135" s="5">
        <v>1.9878825438980965E-2</v>
      </c>
      <c r="F135" s="5"/>
      <c r="G135" s="5"/>
      <c r="H135" s="5"/>
      <c r="L135" s="38"/>
      <c r="M135" s="38"/>
      <c r="N135" s="38"/>
      <c r="O135" s="38"/>
      <c r="P135" s="38"/>
      <c r="Q135" s="38"/>
      <c r="R135" s="38"/>
      <c r="S135" s="38"/>
      <c r="T135" s="38"/>
      <c r="U135" s="38"/>
    </row>
    <row r="136" spans="1:21" x14ac:dyDescent="0.25">
      <c r="A136" t="s">
        <v>187</v>
      </c>
      <c r="B136" t="s">
        <v>188</v>
      </c>
      <c r="C136" s="5">
        <v>1.9198158600519762E-8</v>
      </c>
      <c r="D136" s="5">
        <v>8.8473037800483222E-8</v>
      </c>
      <c r="E136" s="5">
        <v>3.2093403427277129E-8</v>
      </c>
      <c r="F136" s="5"/>
      <c r="G136" s="5"/>
      <c r="H136" s="5"/>
      <c r="L136" s="38"/>
      <c r="M136" s="38"/>
      <c r="N136" s="38"/>
      <c r="O136" s="38"/>
      <c r="P136" s="38"/>
      <c r="Q136" s="38"/>
      <c r="R136" s="38"/>
      <c r="S136" s="38"/>
      <c r="T136" s="38"/>
      <c r="U136" s="38"/>
    </row>
    <row r="137" spans="1:21" x14ac:dyDescent="0.25">
      <c r="A137" t="s">
        <v>189</v>
      </c>
      <c r="B137" t="s">
        <v>188</v>
      </c>
      <c r="C137" s="5">
        <v>1.2081824506844722E-8</v>
      </c>
      <c r="D137" s="5">
        <v>8.5761408009740092E-8</v>
      </c>
      <c r="E137" s="5">
        <v>2.5350370922459416E-10</v>
      </c>
      <c r="F137" s="5"/>
      <c r="G137" s="5"/>
      <c r="H137" s="5"/>
      <c r="L137" s="38"/>
      <c r="M137" s="38"/>
      <c r="N137" s="38"/>
      <c r="O137" s="38"/>
      <c r="P137" s="38"/>
      <c r="Q137" s="38"/>
      <c r="R137" s="38"/>
      <c r="S137" s="38"/>
      <c r="T137" s="38"/>
      <c r="U137" s="38"/>
    </row>
    <row r="138" spans="1:21" x14ac:dyDescent="0.25">
      <c r="A138" t="s">
        <v>190</v>
      </c>
      <c r="B138" t="s">
        <v>188</v>
      </c>
      <c r="C138" s="5">
        <v>7.1163340936750309E-9</v>
      </c>
      <c r="D138" s="5">
        <v>2.7116297907431765E-9</v>
      </c>
      <c r="E138" s="5">
        <v>3.1839899718052531E-8</v>
      </c>
      <c r="F138" s="5"/>
      <c r="G138" s="5"/>
      <c r="H138" s="5"/>
      <c r="L138" s="38"/>
      <c r="M138" s="38"/>
      <c r="N138" s="38"/>
      <c r="O138" s="38"/>
      <c r="P138" s="38"/>
      <c r="Q138" s="38"/>
      <c r="R138" s="38"/>
      <c r="S138" s="38"/>
      <c r="T138" s="38"/>
      <c r="U138" s="38"/>
    </row>
    <row r="139" spans="1:21" x14ac:dyDescent="0.25">
      <c r="A139" t="s">
        <v>191</v>
      </c>
      <c r="B139" t="s">
        <v>188</v>
      </c>
      <c r="C139" s="5">
        <v>3.1377945708623858E-7</v>
      </c>
      <c r="D139" s="5">
        <v>7.7077423391989387E-6</v>
      </c>
      <c r="E139" s="5">
        <v>1.1619597425237926E-8</v>
      </c>
      <c r="F139" s="5"/>
      <c r="G139" s="5"/>
      <c r="H139" s="5"/>
      <c r="L139" s="38"/>
      <c r="M139" s="38"/>
      <c r="N139" s="38"/>
      <c r="O139" s="38"/>
      <c r="P139" s="38"/>
      <c r="Q139" s="38"/>
      <c r="R139" s="38"/>
      <c r="S139" s="38"/>
      <c r="T139" s="38"/>
      <c r="U139" s="38"/>
    </row>
    <row r="140" spans="1:21" x14ac:dyDescent="0.25">
      <c r="A140" t="s">
        <v>192</v>
      </c>
      <c r="B140" t="s">
        <v>188</v>
      </c>
      <c r="C140" s="5">
        <v>3.0813457813131947E-7</v>
      </c>
      <c r="D140" s="5">
        <v>7.3363457626915433E-6</v>
      </c>
      <c r="E140" s="5">
        <v>1.0344486538117389E-8</v>
      </c>
      <c r="F140" s="5"/>
      <c r="G140" s="5"/>
      <c r="H140" s="5"/>
      <c r="L140" s="38"/>
      <c r="M140" s="38"/>
      <c r="N140" s="38"/>
      <c r="O140" s="38"/>
      <c r="P140" s="38"/>
      <c r="Q140" s="38"/>
      <c r="R140" s="38"/>
      <c r="S140" s="38"/>
      <c r="T140" s="38"/>
      <c r="U140" s="38"/>
    </row>
    <row r="141" spans="1:21" x14ac:dyDescent="0.25">
      <c r="A141" t="s">
        <v>193</v>
      </c>
      <c r="B141" t="s">
        <v>188</v>
      </c>
      <c r="C141" s="5">
        <v>5.6448789549192999E-9</v>
      </c>
      <c r="D141" s="5">
        <v>3.7139657650739182E-7</v>
      </c>
      <c r="E141" s="5">
        <v>1.2751108871205295E-9</v>
      </c>
      <c r="F141" s="5"/>
      <c r="G141" s="5"/>
      <c r="H141" s="5"/>
      <c r="L141" s="38"/>
      <c r="M141" s="38"/>
      <c r="N141" s="38"/>
      <c r="O141" s="38"/>
      <c r="P141" s="38"/>
      <c r="Q141" s="38"/>
      <c r="R141" s="38"/>
      <c r="S141" s="38"/>
      <c r="T141" s="38"/>
      <c r="U141" s="38"/>
    </row>
    <row r="142" spans="1:21" x14ac:dyDescent="0.25">
      <c r="A142" t="s">
        <v>194</v>
      </c>
      <c r="B142" t="s">
        <v>195</v>
      </c>
      <c r="C142" s="5">
        <v>0.36398485859563218</v>
      </c>
      <c r="D142" s="5">
        <v>0.85099835872855734</v>
      </c>
      <c r="E142" s="5">
        <v>0.14619455173329166</v>
      </c>
      <c r="L142" s="38"/>
      <c r="M142" s="38"/>
      <c r="N142" s="38"/>
      <c r="O142" s="38"/>
      <c r="P142" s="38"/>
      <c r="Q142" s="38"/>
      <c r="R142" s="38"/>
      <c r="S142" s="38"/>
      <c r="T142" s="38"/>
      <c r="U142" s="38"/>
    </row>
    <row r="143" spans="1:21" x14ac:dyDescent="0.25">
      <c r="A143" t="s">
        <v>196</v>
      </c>
      <c r="B143" t="s">
        <v>197</v>
      </c>
      <c r="C143" s="5">
        <v>28.259447480174323</v>
      </c>
      <c r="D143" s="5">
        <v>192.42331380779376</v>
      </c>
      <c r="E143" s="5">
        <v>7.9652801670098814</v>
      </c>
      <c r="L143" s="38"/>
      <c r="M143" s="38"/>
      <c r="N143" s="38"/>
      <c r="O143" s="38"/>
      <c r="P143" s="38"/>
      <c r="Q143" s="38"/>
      <c r="R143" s="38"/>
      <c r="S143" s="38"/>
      <c r="T143" s="38"/>
      <c r="U143" s="38"/>
    </row>
    <row r="144" spans="1:21" x14ac:dyDescent="0.25">
      <c r="A144" t="s">
        <v>198</v>
      </c>
      <c r="B144" t="s">
        <v>199</v>
      </c>
      <c r="C144" s="5">
        <v>6.3368787334779899E-5</v>
      </c>
      <c r="D144" s="5">
        <v>7.4891235295090602E-3</v>
      </c>
      <c r="E144" s="5">
        <v>1.3033123294273286E-6</v>
      </c>
      <c r="L144" s="38"/>
      <c r="M144" s="38"/>
      <c r="N144" s="38"/>
      <c r="O144" s="38"/>
      <c r="P144" s="38"/>
      <c r="Q144" s="38"/>
      <c r="R144" s="38"/>
      <c r="S144" s="38"/>
      <c r="T144" s="38"/>
      <c r="U144" s="38"/>
    </row>
    <row r="145" spans="1:21" x14ac:dyDescent="0.25">
      <c r="A145" t="s">
        <v>200</v>
      </c>
      <c r="B145" t="s">
        <v>69</v>
      </c>
      <c r="C145" s="5">
        <v>4.0538090296951861E-7</v>
      </c>
      <c r="D145" s="5">
        <v>3.4442580926455439E-7</v>
      </c>
      <c r="E145" s="5">
        <v>1.3383850048950764E-7</v>
      </c>
      <c r="L145" s="38"/>
      <c r="M145" s="38"/>
      <c r="N145" s="38"/>
      <c r="O145" s="38"/>
      <c r="P145" s="38"/>
      <c r="Q145" s="38"/>
      <c r="R145" s="38"/>
      <c r="S145" s="38"/>
      <c r="T145" s="38"/>
      <c r="U145" s="38"/>
    </row>
    <row r="146" spans="1:21" x14ac:dyDescent="0.25">
      <c r="A146" t="s">
        <v>201</v>
      </c>
      <c r="B146" t="s">
        <v>202</v>
      </c>
      <c r="C146" s="5">
        <v>1.2290758391382039E-6</v>
      </c>
      <c r="D146" s="5">
        <v>1.3836141551185452E-6</v>
      </c>
      <c r="E146" s="5">
        <v>1.8094930355221074E-7</v>
      </c>
      <c r="L146" s="38"/>
      <c r="M146" s="38"/>
      <c r="N146" s="38"/>
      <c r="O146" s="38"/>
      <c r="P146" s="38"/>
      <c r="Q146" s="38"/>
      <c r="R146" s="38"/>
      <c r="S146" s="38"/>
      <c r="T146" s="38"/>
      <c r="U146" s="38"/>
    </row>
    <row r="147" spans="1:21" x14ac:dyDescent="0.25">
      <c r="A147" t="s">
        <v>203</v>
      </c>
      <c r="B147" t="s">
        <v>204</v>
      </c>
      <c r="C147" s="5">
        <v>5.3792338378019784E-2</v>
      </c>
      <c r="D147" s="5">
        <v>0.11589553837849334</v>
      </c>
      <c r="E147" s="5">
        <v>1.8782231899980465E-2</v>
      </c>
      <c r="L147" s="38"/>
      <c r="M147" s="38"/>
      <c r="N147" s="38"/>
      <c r="O147" s="38"/>
      <c r="P147" s="38"/>
      <c r="Q147" s="38"/>
      <c r="R147" s="38"/>
      <c r="S147" s="38"/>
      <c r="T147" s="38"/>
      <c r="U147" s="38"/>
    </row>
    <row r="148" spans="1:21" x14ac:dyDescent="0.25">
      <c r="A148" t="s">
        <v>205</v>
      </c>
      <c r="B148" t="s">
        <v>206</v>
      </c>
      <c r="C148" s="5">
        <v>4.3160200602750329</v>
      </c>
      <c r="D148" s="5">
        <v>7.020254666086065</v>
      </c>
      <c r="E148" s="5">
        <v>0.37569519824570369</v>
      </c>
      <c r="L148" s="38"/>
      <c r="M148" s="38"/>
      <c r="N148" s="38"/>
      <c r="O148" s="38"/>
      <c r="P148" s="38"/>
      <c r="Q148" s="38"/>
      <c r="R148" s="38"/>
      <c r="S148" s="38"/>
      <c r="T148" s="38"/>
      <c r="U148" s="38"/>
    </row>
    <row r="149" spans="1:21" x14ac:dyDescent="0.25">
      <c r="L149" s="38"/>
      <c r="M149" s="38"/>
      <c r="N149" s="38"/>
      <c r="O149" s="38"/>
      <c r="P149" s="38"/>
      <c r="Q149" s="38"/>
      <c r="R149" s="38"/>
      <c r="S149" s="38"/>
      <c r="T149" s="38"/>
      <c r="U149" s="38"/>
    </row>
    <row r="150" spans="1:21" ht="18" thickBot="1" x14ac:dyDescent="0.35">
      <c r="A150" s="4" t="s">
        <v>207</v>
      </c>
      <c r="B150" s="4"/>
      <c r="C150" s="13"/>
      <c r="D150" s="13" t="s">
        <v>208</v>
      </c>
      <c r="E150" s="13"/>
      <c r="L150" s="38"/>
      <c r="M150" s="38"/>
      <c r="N150" s="38"/>
      <c r="O150" s="38"/>
      <c r="P150" s="38"/>
      <c r="Q150" s="38"/>
      <c r="R150" s="38"/>
      <c r="S150" s="38"/>
      <c r="T150" s="38"/>
      <c r="U150" s="38"/>
    </row>
    <row r="151" spans="1:21" ht="16.5" thickTop="1" x14ac:dyDescent="0.25">
      <c r="A151" t="s">
        <v>172</v>
      </c>
      <c r="B151" t="s">
        <v>173</v>
      </c>
      <c r="C151" s="30"/>
      <c r="D151" s="30">
        <f>SUM(C93:I93)/$AP$13*($AP$13/($AP$13+$B$56))</f>
        <v>6.9079936335330215E-3</v>
      </c>
      <c r="L151" s="38"/>
      <c r="M151" s="38"/>
      <c r="N151" s="38"/>
      <c r="O151" s="38"/>
      <c r="P151" s="38"/>
      <c r="Q151" s="38"/>
      <c r="R151" s="38"/>
      <c r="S151" s="38"/>
      <c r="T151" s="38"/>
      <c r="U151" s="38"/>
    </row>
    <row r="152" spans="1:21" x14ac:dyDescent="0.25">
      <c r="A152" t="s">
        <v>65</v>
      </c>
      <c r="B152" t="s">
        <v>66</v>
      </c>
      <c r="C152" s="30"/>
      <c r="D152" s="30">
        <f t="shared" ref="D152:D175" si="9">SUM(C94:I94)/$AP$13*($AP$13/($AP$13+$B$56))</f>
        <v>3.4154836740275467</v>
      </c>
      <c r="L152" s="38"/>
      <c r="M152" s="38"/>
      <c r="N152" s="38"/>
      <c r="O152" s="38"/>
      <c r="P152" s="38"/>
      <c r="Q152" s="38"/>
      <c r="R152" s="38"/>
      <c r="S152" s="38"/>
      <c r="T152" s="38"/>
      <c r="U152" s="38"/>
    </row>
    <row r="153" spans="1:21" x14ac:dyDescent="0.25">
      <c r="A153" t="s">
        <v>174</v>
      </c>
      <c r="B153" t="s">
        <v>66</v>
      </c>
      <c r="C153" s="30"/>
      <c r="D153" s="30">
        <f t="shared" si="9"/>
        <v>6.7643250961800299E-4</v>
      </c>
      <c r="L153" s="38"/>
      <c r="M153" s="38"/>
      <c r="N153" s="38"/>
      <c r="O153" s="38"/>
      <c r="P153" s="38"/>
      <c r="Q153" s="38"/>
      <c r="R153" s="38"/>
      <c r="S153" s="38"/>
      <c r="T153" s="38"/>
      <c r="U153" s="38"/>
    </row>
    <row r="154" spans="1:21" x14ac:dyDescent="0.25">
      <c r="A154" t="s">
        <v>175</v>
      </c>
      <c r="B154" t="s">
        <v>66</v>
      </c>
      <c r="C154" s="30"/>
      <c r="D154" s="30">
        <f t="shared" si="9"/>
        <v>3.4144105456204876</v>
      </c>
      <c r="L154" s="38"/>
      <c r="M154" s="38"/>
      <c r="N154" s="38"/>
      <c r="O154" s="38"/>
      <c r="P154" s="38"/>
      <c r="Q154" s="38"/>
      <c r="R154" s="38"/>
      <c r="S154" s="38"/>
      <c r="T154" s="38"/>
      <c r="U154" s="38"/>
    </row>
    <row r="155" spans="1:21" x14ac:dyDescent="0.25">
      <c r="A155" t="s">
        <v>176</v>
      </c>
      <c r="B155" t="s">
        <v>66</v>
      </c>
      <c r="C155" s="30"/>
      <c r="D155" s="30">
        <f t="shared" si="9"/>
        <v>3.9669589744145033E-4</v>
      </c>
      <c r="L155" s="38"/>
      <c r="M155" s="38"/>
      <c r="N155" s="38"/>
      <c r="O155" s="38"/>
      <c r="P155" s="38"/>
      <c r="Q155" s="38"/>
      <c r="R155" s="38"/>
      <c r="S155" s="38"/>
      <c r="T155" s="38"/>
      <c r="U155" s="38"/>
    </row>
    <row r="156" spans="1:21" x14ac:dyDescent="0.25">
      <c r="A156" t="s">
        <v>177</v>
      </c>
      <c r="B156" t="s">
        <v>178</v>
      </c>
      <c r="C156" s="30"/>
      <c r="D156" s="30">
        <f t="shared" si="9"/>
        <v>7.9226472895076965</v>
      </c>
      <c r="L156" s="38"/>
      <c r="M156" s="38"/>
      <c r="N156" s="38"/>
      <c r="O156" s="38"/>
      <c r="P156" s="38"/>
      <c r="Q156" s="38"/>
      <c r="R156" s="38"/>
      <c r="S156" s="38"/>
      <c r="T156" s="38"/>
      <c r="U156" s="38"/>
    </row>
    <row r="157" spans="1:21" x14ac:dyDescent="0.25">
      <c r="A157" t="s">
        <v>179</v>
      </c>
      <c r="B157" t="s">
        <v>178</v>
      </c>
      <c r="C157" s="30"/>
      <c r="D157" s="30">
        <f t="shared" si="9"/>
        <v>7.0051747694815152</v>
      </c>
      <c r="L157" s="38"/>
      <c r="M157" s="38"/>
      <c r="N157" s="38"/>
      <c r="O157" s="38"/>
      <c r="P157" s="38"/>
      <c r="Q157" s="38"/>
      <c r="R157" s="38"/>
      <c r="S157" s="38"/>
      <c r="T157" s="38"/>
      <c r="U157" s="38"/>
    </row>
    <row r="158" spans="1:21" x14ac:dyDescent="0.25">
      <c r="A158" t="s">
        <v>180</v>
      </c>
      <c r="B158" t="s">
        <v>178</v>
      </c>
      <c r="C158" s="30"/>
      <c r="D158" s="30">
        <f t="shared" si="9"/>
        <v>0.91747252002618584</v>
      </c>
      <c r="L158" s="38"/>
      <c r="M158" s="38"/>
      <c r="N158" s="38"/>
      <c r="O158" s="38"/>
      <c r="P158" s="38"/>
      <c r="Q158" s="38"/>
      <c r="R158" s="38"/>
      <c r="S158" s="38"/>
      <c r="T158" s="38"/>
      <c r="U158" s="38"/>
    </row>
    <row r="159" spans="1:21" x14ac:dyDescent="0.25">
      <c r="A159" t="s">
        <v>181</v>
      </c>
      <c r="B159" t="s">
        <v>182</v>
      </c>
      <c r="C159" s="30"/>
      <c r="D159" s="30">
        <f t="shared" si="9"/>
        <v>69.995954203439098</v>
      </c>
      <c r="L159" s="38"/>
      <c r="M159" s="38"/>
      <c r="N159" s="38"/>
      <c r="O159" s="38"/>
      <c r="P159" s="38"/>
      <c r="Q159" s="38"/>
      <c r="R159" s="38"/>
      <c r="S159" s="38"/>
      <c r="T159" s="38"/>
      <c r="U159" s="38"/>
    </row>
    <row r="160" spans="1:21" x14ac:dyDescent="0.25">
      <c r="A160" t="s">
        <v>183</v>
      </c>
      <c r="B160" t="s">
        <v>67</v>
      </c>
      <c r="C160" s="30"/>
      <c r="D160" s="30">
        <f t="shared" si="9"/>
        <v>6.5745966583458484E-4</v>
      </c>
      <c r="L160" s="38"/>
      <c r="M160" s="38"/>
      <c r="N160" s="38"/>
      <c r="O160" s="38"/>
      <c r="P160" s="38"/>
      <c r="Q160" s="38"/>
      <c r="R160" s="38"/>
      <c r="S160" s="38"/>
      <c r="T160" s="38"/>
      <c r="U160" s="38"/>
    </row>
    <row r="161" spans="1:21" x14ac:dyDescent="0.25">
      <c r="A161" t="s">
        <v>184</v>
      </c>
      <c r="B161" t="s">
        <v>68</v>
      </c>
      <c r="C161" s="30"/>
      <c r="D161" s="30">
        <f t="shared" si="9"/>
        <v>2.0476995977953567E-3</v>
      </c>
      <c r="L161" s="38"/>
      <c r="M161" s="38"/>
      <c r="N161" s="38"/>
      <c r="O161" s="38"/>
      <c r="P161" s="38"/>
      <c r="Q161" s="38"/>
      <c r="R161" s="38"/>
      <c r="S161" s="38"/>
      <c r="T161" s="38"/>
      <c r="U161" s="38"/>
    </row>
    <row r="162" spans="1:21" x14ac:dyDescent="0.25">
      <c r="A162" t="s">
        <v>185</v>
      </c>
      <c r="B162" t="s">
        <v>186</v>
      </c>
      <c r="C162" s="30"/>
      <c r="D162" s="30">
        <f t="shared" si="9"/>
        <v>1.9329228951983194E-2</v>
      </c>
      <c r="L162" s="38"/>
      <c r="M162" s="38"/>
      <c r="N162" s="38"/>
      <c r="O162" s="38"/>
      <c r="P162" s="38"/>
      <c r="Q162" s="38"/>
      <c r="R162" s="38"/>
      <c r="S162" s="38"/>
      <c r="T162" s="38"/>
      <c r="U162" s="38"/>
    </row>
    <row r="163" spans="1:21" x14ac:dyDescent="0.25">
      <c r="A163" t="s">
        <v>187</v>
      </c>
      <c r="B163" t="s">
        <v>188</v>
      </c>
      <c r="C163" s="30"/>
      <c r="D163" s="30">
        <f t="shared" si="9"/>
        <v>6.2122936948222683E-10</v>
      </c>
    </row>
    <row r="164" spans="1:21" x14ac:dyDescent="0.25">
      <c r="A164" t="s">
        <v>189</v>
      </c>
      <c r="B164" t="s">
        <v>188</v>
      </c>
      <c r="C164" s="30"/>
      <c r="D164" s="30">
        <f t="shared" si="9"/>
        <v>3.4192911098240275E-10</v>
      </c>
    </row>
    <row r="165" spans="1:21" x14ac:dyDescent="0.25">
      <c r="A165" t="s">
        <v>190</v>
      </c>
      <c r="B165" t="s">
        <v>188</v>
      </c>
      <c r="C165" s="30"/>
      <c r="D165" s="30">
        <f t="shared" si="9"/>
        <v>2.7930025849982418E-10</v>
      </c>
    </row>
    <row r="166" spans="1:21" x14ac:dyDescent="0.25">
      <c r="A166" t="s">
        <v>191</v>
      </c>
      <c r="B166" t="s">
        <v>188</v>
      </c>
      <c r="C166" s="30"/>
      <c r="D166" s="30">
        <f t="shared" si="9"/>
        <v>1.3141900148546349E-8</v>
      </c>
    </row>
    <row r="167" spans="1:21" x14ac:dyDescent="0.25">
      <c r="A167" t="s">
        <v>192</v>
      </c>
      <c r="B167" t="s">
        <v>188</v>
      </c>
      <c r="C167" s="30"/>
      <c r="D167" s="30">
        <f t="shared" si="9"/>
        <v>1.2624433241006357E-8</v>
      </c>
    </row>
    <row r="168" spans="1:21" x14ac:dyDescent="0.25">
      <c r="A168" t="s">
        <v>193</v>
      </c>
      <c r="B168" t="s">
        <v>188</v>
      </c>
      <c r="C168" s="30"/>
      <c r="D168" s="30">
        <f t="shared" si="9"/>
        <v>5.1746690753999997E-10</v>
      </c>
    </row>
    <row r="169" spans="1:21" x14ac:dyDescent="0.25">
      <c r="A169" t="s">
        <v>194</v>
      </c>
      <c r="B169" t="s">
        <v>195</v>
      </c>
      <c r="C169" s="30"/>
      <c r="D169" s="30">
        <f t="shared" si="9"/>
        <v>2.01447418207559</v>
      </c>
    </row>
    <row r="170" spans="1:21" x14ac:dyDescent="0.25">
      <c r="A170" t="s">
        <v>196</v>
      </c>
      <c r="B170" t="s">
        <v>197</v>
      </c>
      <c r="C170" s="30"/>
      <c r="D170" s="30">
        <f t="shared" si="9"/>
        <v>9.803068133817975</v>
      </c>
    </row>
    <row r="171" spans="1:21" x14ac:dyDescent="0.25">
      <c r="A171" t="s">
        <v>198</v>
      </c>
      <c r="B171" t="s">
        <v>199</v>
      </c>
      <c r="C171" s="30"/>
      <c r="D171" s="30">
        <f t="shared" si="9"/>
        <v>5.4401258118970116E-6</v>
      </c>
    </row>
    <row r="172" spans="1:21" x14ac:dyDescent="0.25">
      <c r="A172" t="s">
        <v>200</v>
      </c>
      <c r="B172" t="s">
        <v>69</v>
      </c>
      <c r="C172" s="30"/>
      <c r="D172" s="30">
        <f t="shared" si="9"/>
        <v>1.6346005963159468E-7</v>
      </c>
    </row>
    <row r="173" spans="1:21" x14ac:dyDescent="0.25">
      <c r="A173" t="s">
        <v>201</v>
      </c>
      <c r="B173" t="s">
        <v>202</v>
      </c>
      <c r="C173" s="30"/>
      <c r="D173" s="30">
        <f t="shared" si="9"/>
        <v>4.1389559019284972E-8</v>
      </c>
    </row>
    <row r="174" spans="1:21" x14ac:dyDescent="0.25">
      <c r="A174" t="s">
        <v>203</v>
      </c>
      <c r="B174" t="s">
        <v>204</v>
      </c>
      <c r="C174" s="30"/>
      <c r="D174" s="30">
        <f t="shared" si="9"/>
        <v>6.301774565269716E-3</v>
      </c>
    </row>
    <row r="175" spans="1:21" x14ac:dyDescent="0.25">
      <c r="A175" t="s">
        <v>205</v>
      </c>
      <c r="B175" t="s">
        <v>206</v>
      </c>
      <c r="C175" s="30"/>
      <c r="D175" s="30">
        <f t="shared" si="9"/>
        <v>0.52237110989170055</v>
      </c>
    </row>
  </sheetData>
  <mergeCells count="1">
    <mergeCell ref="D13:E1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70F76-B26D-2C4B-802C-D066439969D5}">
  <dimension ref="A1:R24"/>
  <sheetViews>
    <sheetView zoomScale="92" zoomScaleNormal="92" workbookViewId="0">
      <selection activeCell="E19" sqref="E19"/>
    </sheetView>
  </sheetViews>
  <sheetFormatPr defaultColWidth="10.875" defaultRowHeight="15.75" x14ac:dyDescent="0.25"/>
  <cols>
    <col min="1" max="1" width="10.875" style="1"/>
    <col min="2" max="2" width="44" style="1" customWidth="1"/>
    <col min="3" max="3" width="14.125" style="1" customWidth="1"/>
    <col min="4" max="4" width="11.625" style="1" bestFit="1" customWidth="1"/>
    <col min="5" max="5" width="53.875" style="1" customWidth="1"/>
    <col min="6" max="6" width="10.875" style="1"/>
    <col min="7" max="7" width="16.5" style="1" customWidth="1"/>
    <col min="8" max="8" width="10.875" style="1" customWidth="1"/>
    <col min="9" max="16384" width="10.875" style="1"/>
  </cols>
  <sheetData>
    <row r="1" spans="1:18" ht="20.25" thickBot="1" x14ac:dyDescent="0.35">
      <c r="A1" s="2" t="s">
        <v>70</v>
      </c>
      <c r="B1" s="2"/>
    </row>
    <row r="2" spans="1:18" ht="16.5" thickTop="1" x14ac:dyDescent="0.25"/>
    <row r="4" spans="1:18" x14ac:dyDescent="0.25">
      <c r="G4" s="1" t="s">
        <v>86</v>
      </c>
    </row>
    <row r="5" spans="1:18" ht="31.5" x14ac:dyDescent="0.25">
      <c r="B5" s="26" t="s">
        <v>57</v>
      </c>
      <c r="C5" s="26" t="s">
        <v>87</v>
      </c>
      <c r="D5" s="27" t="s">
        <v>88</v>
      </c>
      <c r="E5" s="26" t="s">
        <v>89</v>
      </c>
      <c r="G5" s="15" t="str">
        <f>'Direct Recycling LFP_CAM'!C92</f>
        <v>Deionised water</v>
      </c>
      <c r="H5" s="15" t="str">
        <f>'Direct Recycling LFP_CAM'!D92</f>
        <v>Electricity</v>
      </c>
      <c r="I5" s="15" t="str">
        <f>'Direct Recycling LFP_CAM'!E92</f>
        <v>Waste electrolyte</v>
      </c>
      <c r="J5" s="15" t="str">
        <f>'Direct Recycling LFP_CAM'!F92</f>
        <v>Waste separator</v>
      </c>
      <c r="K5" s="15" t="str">
        <f>'Direct Recycling LFP_CAM'!G92</f>
        <v>Waste casing</v>
      </c>
      <c r="L5" s="15" t="str">
        <f>'Direct Recycling LFP_CAM'!H92</f>
        <v>Waste Al foil</v>
      </c>
      <c r="M5" s="15" t="str">
        <f>'Direct Recycling LFP_CAM'!I92</f>
        <v>Waste Cu foil</v>
      </c>
      <c r="N5" s="15" t="str">
        <f>'Direct Recycling LFP_CAM'!J92</f>
        <v>Waste graphite</v>
      </c>
      <c r="O5" s="15" t="str">
        <f>'Direct Recycling LFP_CAM'!K92</f>
        <v>Material losses</v>
      </c>
      <c r="P5" s="15" t="str">
        <f>'Direct Recycling LFP_CAM'!L92</f>
        <v>Water evaporation</v>
      </c>
      <c r="Q5" s="15" t="str">
        <f>'Direct Recycling LFP_CAM'!M92</f>
        <v>Lithium carbonate</v>
      </c>
      <c r="R5" s="1" t="s">
        <v>90</v>
      </c>
    </row>
    <row r="6" spans="1:18" x14ac:dyDescent="0.25">
      <c r="B6" t="s">
        <v>209</v>
      </c>
      <c r="C6" t="s">
        <v>173</v>
      </c>
      <c r="D6" s="28">
        <f>SUM('Direct Recycling LFP_CAM'!C93:M93)/'Direct Recycling LFP_CAM'!$AP$13</f>
        <v>7.8660271911286297E-3</v>
      </c>
      <c r="E6" s="29"/>
      <c r="G6" s="23">
        <f>G17/0.94</f>
        <v>1.6861316675985661E-3</v>
      </c>
      <c r="H6" s="23">
        <f t="shared" ref="H6:Q6" si="0">H17/0.94</f>
        <v>0.82844465782680399</v>
      </c>
      <c r="I6" s="23">
        <f t="shared" si="0"/>
        <v>1.4789527661430433E-2</v>
      </c>
      <c r="J6" s="23">
        <f t="shared" si="0"/>
        <v>1.3588505117032457E-2</v>
      </c>
      <c r="K6" s="23">
        <f t="shared" si="0"/>
        <v>2.6089373003368055E-2</v>
      </c>
      <c r="L6" s="23">
        <f t="shared" si="0"/>
        <v>4.9098591261639134E-3</v>
      </c>
      <c r="M6" s="23">
        <f t="shared" si="0"/>
        <v>5.9936918272653688E-3</v>
      </c>
      <c r="N6" s="23">
        <f t="shared" si="0"/>
        <v>1.6317956603488018E-2</v>
      </c>
      <c r="O6" s="23">
        <f t="shared" si="0"/>
        <v>2.9506784679800602E-2</v>
      </c>
      <c r="P6" s="23">
        <f t="shared" si="0"/>
        <v>0</v>
      </c>
      <c r="Q6" s="23">
        <f t="shared" si="0"/>
        <v>5.9686614521363132E-2</v>
      </c>
      <c r="R6" s="25">
        <f>SUM(G6:Q6)</f>
        <v>1.0010131020343145</v>
      </c>
    </row>
    <row r="7" spans="1:18" x14ac:dyDescent="0.25">
      <c r="B7" t="s">
        <v>91</v>
      </c>
      <c r="C7" t="s">
        <v>66</v>
      </c>
      <c r="D7" s="28">
        <f>SUM('Direct Recycling LFP_CAM'!C94:M94)/'Direct Recycling LFP_CAM'!$AP$13</f>
        <v>4.3320784190202497</v>
      </c>
      <c r="E7" s="29"/>
      <c r="G7" s="23">
        <f t="shared" ref="G7:Q13" si="1">G18/0.94</f>
        <v>2.6586470989121031E-4</v>
      </c>
      <c r="H7" s="23">
        <f t="shared" si="1"/>
        <v>0.7011306121051335</v>
      </c>
      <c r="I7" s="23">
        <f t="shared" si="1"/>
        <v>4.7374760627085066E-2</v>
      </c>
      <c r="J7" s="23">
        <f t="shared" si="1"/>
        <v>8.5982228371474206E-2</v>
      </c>
      <c r="K7" s="23">
        <f t="shared" si="1"/>
        <v>7.443594526973892E-3</v>
      </c>
      <c r="L7" s="23">
        <f t="shared" si="1"/>
        <v>1.4008385910619021E-3</v>
      </c>
      <c r="M7" s="23">
        <f t="shared" si="1"/>
        <v>1.7100683744312695E-3</v>
      </c>
      <c r="N7" s="23">
        <f t="shared" si="1"/>
        <v>0.10534375028111119</v>
      </c>
      <c r="O7" s="23">
        <f t="shared" si="1"/>
        <v>3.8357888657750965E-2</v>
      </c>
      <c r="P7" s="23">
        <f t="shared" si="1"/>
        <v>0</v>
      </c>
      <c r="Q7" s="23">
        <f t="shared" si="1"/>
        <v>1.1902327889345355E-2</v>
      </c>
      <c r="R7" s="25">
        <f t="shared" ref="R7:R13" si="2">SUM(G7:Q7)</f>
        <v>1.0009119341342585</v>
      </c>
    </row>
    <row r="8" spans="1:18" x14ac:dyDescent="0.25">
      <c r="B8" t="s">
        <v>92</v>
      </c>
      <c r="C8" t="s">
        <v>178</v>
      </c>
      <c r="D8" s="28">
        <f>SUM('Direct Recycling LFP_CAM'!C98:M98)/'Direct Recycling LFP_CAM'!$AP$13</f>
        <v>22.485499435731359</v>
      </c>
      <c r="E8" s="29"/>
      <c r="G8" s="23">
        <f>G19/0.94</f>
        <v>5.9854790578868413E-3</v>
      </c>
      <c r="H8" s="23">
        <f t="shared" ref="H8:Q8" si="3">H19/0.94</f>
        <v>0.18943271467821862</v>
      </c>
      <c r="I8" s="23">
        <f t="shared" si="3"/>
        <v>7.1219805028391175E-2</v>
      </c>
      <c r="J8" s="23">
        <f t="shared" si="3"/>
        <v>3.5472610764223735E-2</v>
      </c>
      <c r="K8" s="23">
        <f t="shared" si="3"/>
        <v>0.3018547063148464</v>
      </c>
      <c r="L8" s="23">
        <f t="shared" si="3"/>
        <v>5.6807194422960922E-2</v>
      </c>
      <c r="M8" s="23">
        <f t="shared" si="3"/>
        <v>6.9347166220794898E-2</v>
      </c>
      <c r="N8" s="23">
        <f t="shared" si="3"/>
        <v>8.5055650157984164E-2</v>
      </c>
      <c r="O8" s="23">
        <f t="shared" si="3"/>
        <v>0.11313446878386278</v>
      </c>
      <c r="P8" s="23">
        <f t="shared" si="3"/>
        <v>0</v>
      </c>
      <c r="Q8" s="23">
        <f t="shared" si="3"/>
        <v>7.2602138705089136E-2</v>
      </c>
      <c r="R8" s="25">
        <f t="shared" si="2"/>
        <v>1.0009119341342587</v>
      </c>
    </row>
    <row r="9" spans="1:18" ht="18" x14ac:dyDescent="0.35">
      <c r="B9" s="31" t="s">
        <v>210</v>
      </c>
      <c r="C9" t="s">
        <v>188</v>
      </c>
      <c r="D9" s="28">
        <f>SUM('Direct Recycling LFP_CAM'!C105:M105)/'Direct Recycling LFP_CAM'!$AP$13</f>
        <v>8.1177139134876748E-10</v>
      </c>
      <c r="E9" s="29"/>
      <c r="G9" s="23">
        <f t="shared" si="1"/>
        <v>1.255767137216354E-3</v>
      </c>
      <c r="H9" s="23">
        <f t="shared" si="1"/>
        <v>0.60106232015421746</v>
      </c>
      <c r="I9" s="23">
        <f t="shared" si="1"/>
        <v>2.7899973219829215E-2</v>
      </c>
      <c r="J9" s="23">
        <f t="shared" si="1"/>
        <v>7.8888910314304561E-2</v>
      </c>
      <c r="K9" s="23">
        <f t="shared" si="1"/>
        <v>3.5792334185162054E-2</v>
      </c>
      <c r="L9" s="23">
        <f t="shared" si="1"/>
        <v>6.7358965898889067E-3</v>
      </c>
      <c r="M9" s="23">
        <f t="shared" si="1"/>
        <v>8.2228201059742542E-3</v>
      </c>
      <c r="N9" s="23">
        <f t="shared" si="1"/>
        <v>2.9672327767580619E-2</v>
      </c>
      <c r="O9" s="23">
        <f t="shared" si="1"/>
        <v>0.12346738173289923</v>
      </c>
      <c r="P9" s="23">
        <f t="shared" si="1"/>
        <v>0</v>
      </c>
      <c r="Q9" s="23">
        <f t="shared" si="1"/>
        <v>8.7914202927186089E-2</v>
      </c>
      <c r="R9" s="25">
        <f t="shared" si="2"/>
        <v>1.0009119341342587</v>
      </c>
    </row>
    <row r="10" spans="1:18" ht="18" x14ac:dyDescent="0.35">
      <c r="B10" s="31" t="s">
        <v>211</v>
      </c>
      <c r="C10" t="s">
        <v>188</v>
      </c>
      <c r="D10" s="28">
        <f>SUM('Direct Recycling LFP_CAM'!C108:M108)/'Direct Recycling LFP_CAM'!$AP$13</f>
        <v>1.7126690647063836E-8</v>
      </c>
      <c r="E10" s="29"/>
      <c r="G10" s="23">
        <f t="shared" si="1"/>
        <v>1.4011201900732053E-3</v>
      </c>
      <c r="H10" s="23">
        <f t="shared" si="1"/>
        <v>0.62515537970332469</v>
      </c>
      <c r="I10" s="23">
        <f t="shared" si="1"/>
        <v>1.7314692954425837E-2</v>
      </c>
      <c r="J10" s="23">
        <f t="shared" si="1"/>
        <v>7.2550564614527344E-2</v>
      </c>
      <c r="K10" s="23">
        <f t="shared" si="1"/>
        <v>2.2194977108831601E-2</v>
      </c>
      <c r="L10" s="23">
        <f t="shared" si="1"/>
        <v>4.1769578325522722E-3</v>
      </c>
      <c r="M10" s="23">
        <f t="shared" si="1"/>
        <v>5.0990053646123353E-3</v>
      </c>
      <c r="N10" s="23">
        <f t="shared" si="1"/>
        <v>6.4192164978693039E-2</v>
      </c>
      <c r="O10" s="23">
        <f t="shared" si="1"/>
        <v>4.6418191284962385E-2</v>
      </c>
      <c r="P10" s="23">
        <f t="shared" si="1"/>
        <v>0</v>
      </c>
      <c r="Q10" s="23">
        <f t="shared" si="1"/>
        <v>0.14240888010225602</v>
      </c>
      <c r="R10" s="25">
        <f t="shared" si="2"/>
        <v>1.0009119341342587</v>
      </c>
    </row>
    <row r="11" spans="1:18" x14ac:dyDescent="0.25">
      <c r="B11" t="s">
        <v>212</v>
      </c>
      <c r="C11" t="s">
        <v>199</v>
      </c>
      <c r="D11" s="28">
        <f>SUM('Direct Recycling LFP_CAM'!C113:M113)/'Direct Recycling LFP_CAM'!$AP$13</f>
        <v>6.5645583089748508E-6</v>
      </c>
      <c r="E11" s="25"/>
      <c r="G11" s="23">
        <f t="shared" si="1"/>
        <v>3.4793493983765996E-3</v>
      </c>
      <c r="H11" s="23">
        <f t="shared" si="1"/>
        <v>0.67174129071301958</v>
      </c>
      <c r="I11" s="23">
        <f t="shared" si="1"/>
        <v>2.3124343703916569E-2</v>
      </c>
      <c r="J11" s="23">
        <f t="shared" si="1"/>
        <v>5.2861951453288866E-3</v>
      </c>
      <c r="K11" s="23">
        <f t="shared" si="1"/>
        <v>1.0459716859537413E-2</v>
      </c>
      <c r="L11" s="23">
        <f t="shared" si="1"/>
        <v>1.9684542159468708E-3</v>
      </c>
      <c r="M11" s="23">
        <f t="shared" si="1"/>
        <v>2.4029829865373081E-3</v>
      </c>
      <c r="N11" s="23">
        <f t="shared" si="1"/>
        <v>7.3205358362286249E-3</v>
      </c>
      <c r="O11" s="23">
        <f t="shared" si="1"/>
        <v>6.1800679070067574E-2</v>
      </c>
      <c r="P11" s="23">
        <f t="shared" si="1"/>
        <v>0</v>
      </c>
      <c r="Q11" s="23">
        <f t="shared" si="1"/>
        <v>0.21332838620529923</v>
      </c>
      <c r="R11" s="25">
        <f t="shared" si="2"/>
        <v>1.0009119341342585</v>
      </c>
    </row>
    <row r="12" spans="1:18" x14ac:dyDescent="0.25">
      <c r="B12" t="s">
        <v>213</v>
      </c>
      <c r="C12" t="s">
        <v>202</v>
      </c>
      <c r="D12" s="28">
        <f>SUM('Direct Recycling LFP_CAM'!C115:M115)/'Direct Recycling LFP_CAM'!$AP$13</f>
        <v>5.4142561788424831E-8</v>
      </c>
      <c r="E12" s="25"/>
      <c r="G12" s="23">
        <f t="shared" si="1"/>
        <v>1.8372138715317206E-3</v>
      </c>
      <c r="H12" s="23">
        <f t="shared" si="1"/>
        <v>0.6417796755746934</v>
      </c>
      <c r="I12" s="23">
        <f t="shared" si="1"/>
        <v>3.2385769967967729E-2</v>
      </c>
      <c r="J12" s="23">
        <f t="shared" si="1"/>
        <v>5.4425711959726106E-2</v>
      </c>
      <c r="K12" s="23">
        <f t="shared" si="1"/>
        <v>5.8809572914314871E-2</v>
      </c>
      <c r="L12" s="23">
        <f t="shared" si="1"/>
        <v>1.1067598989131506E-2</v>
      </c>
      <c r="M12" s="23">
        <f t="shared" si="1"/>
        <v>1.3510729310972365E-2</v>
      </c>
      <c r="N12" s="23">
        <f t="shared" si="1"/>
        <v>3.0881282556693718E-2</v>
      </c>
      <c r="O12" s="23">
        <f t="shared" si="1"/>
        <v>4.7001802844519873E-2</v>
      </c>
      <c r="P12" s="23">
        <f t="shared" si="1"/>
        <v>0</v>
      </c>
      <c r="Q12" s="23">
        <f t="shared" si="1"/>
        <v>0.10921257614470747</v>
      </c>
      <c r="R12" s="25">
        <f t="shared" si="2"/>
        <v>1.0009119341342587</v>
      </c>
    </row>
    <row r="13" spans="1:18" x14ac:dyDescent="0.25">
      <c r="B13" t="s">
        <v>214</v>
      </c>
      <c r="C13" t="s">
        <v>206</v>
      </c>
      <c r="D13" s="28">
        <f>SUM('Direct Recycling LFP_CAM'!C117:M117)/'Direct Recycling LFP_CAM'!$AP$13</f>
        <v>0.58329954598600031</v>
      </c>
      <c r="G13" s="23">
        <f t="shared" si="1"/>
        <v>4.5545222988300528E-3</v>
      </c>
      <c r="H13" s="23">
        <f t="shared" si="1"/>
        <v>0.82051384920360981</v>
      </c>
      <c r="I13" s="23">
        <f t="shared" si="1"/>
        <v>1.892422904149418E-2</v>
      </c>
      <c r="J13" s="23">
        <f t="shared" si="1"/>
        <v>2.491199063069682E-2</v>
      </c>
      <c r="K13" s="23">
        <f t="shared" si="1"/>
        <v>9.7845140635792957E-3</v>
      </c>
      <c r="L13" s="23">
        <f t="shared" si="1"/>
        <v>1.8413852132031726E-3</v>
      </c>
      <c r="M13" s="23">
        <f t="shared" si="1"/>
        <v>2.2478639854268392E-3</v>
      </c>
      <c r="N13" s="23">
        <f t="shared" si="1"/>
        <v>4.0609680593222258E-3</v>
      </c>
      <c r="O13" s="23">
        <f t="shared" si="1"/>
        <v>4.1151871058074038E-2</v>
      </c>
      <c r="P13" s="23">
        <f t="shared" si="1"/>
        <v>0</v>
      </c>
      <c r="Q13" s="23">
        <f t="shared" si="1"/>
        <v>7.2920740580021917E-2</v>
      </c>
      <c r="R13" s="25">
        <f t="shared" si="2"/>
        <v>1.0009119341342583</v>
      </c>
    </row>
    <row r="17" spans="1:17" ht="20.25" thickBot="1" x14ac:dyDescent="0.35">
      <c r="A17" s="2" t="s">
        <v>38</v>
      </c>
      <c r="B17" s="2"/>
      <c r="G17" s="23">
        <v>1.584963767542652E-3</v>
      </c>
      <c r="H17" s="23">
        <v>0.77873797835719571</v>
      </c>
      <c r="I17" s="23">
        <v>1.3902156001744607E-2</v>
      </c>
      <c r="J17" s="23">
        <v>1.277319481001051E-2</v>
      </c>
      <c r="K17" s="23">
        <v>2.4524010623165969E-2</v>
      </c>
      <c r="L17" s="23">
        <v>4.6152675785940782E-3</v>
      </c>
      <c r="M17" s="23">
        <v>5.6340703176294468E-3</v>
      </c>
      <c r="N17" s="23">
        <v>1.5338879207278737E-2</v>
      </c>
      <c r="O17" s="23">
        <v>2.7736377599012565E-2</v>
      </c>
      <c r="P17" s="23">
        <v>0</v>
      </c>
      <c r="Q17" s="23">
        <v>5.6105417650081341E-2</v>
      </c>
    </row>
    <row r="18" spans="1:17" ht="16.5" thickTop="1" x14ac:dyDescent="0.25">
      <c r="G18" s="23">
        <v>2.4991282729773767E-4</v>
      </c>
      <c r="H18" s="23">
        <v>0.65906277537882541</v>
      </c>
      <c r="I18" s="23">
        <v>4.4532274989459962E-2</v>
      </c>
      <c r="J18" s="23">
        <v>8.0823294669185752E-2</v>
      </c>
      <c r="K18" s="23">
        <v>6.9969788553554584E-3</v>
      </c>
      <c r="L18" s="23">
        <v>1.3167882755981879E-3</v>
      </c>
      <c r="M18" s="23">
        <v>1.6074642719653932E-3</v>
      </c>
      <c r="N18" s="23">
        <v>9.9023125264244519E-2</v>
      </c>
      <c r="O18" s="23">
        <v>3.6056415338285908E-2</v>
      </c>
      <c r="P18" s="23">
        <v>0</v>
      </c>
      <c r="Q18" s="23">
        <v>1.1188188215984633E-2</v>
      </c>
    </row>
    <row r="19" spans="1:17" x14ac:dyDescent="0.25">
      <c r="A19" s="1" t="s">
        <v>94</v>
      </c>
      <c r="B19" s="1">
        <f>'Direct Recycling LFP_CAM'!AA6</f>
        <v>3.7079490364481673</v>
      </c>
      <c r="C19" s="23">
        <f>B19/SUM($B$19:$B$21)</f>
        <v>0.55607568734625479</v>
      </c>
      <c r="G19" s="23">
        <v>5.6263503144136301E-3</v>
      </c>
      <c r="H19" s="23">
        <v>0.17806675179752549</v>
      </c>
      <c r="I19" s="23">
        <v>6.6946616726687697E-2</v>
      </c>
      <c r="J19" s="23">
        <v>3.334425411837031E-2</v>
      </c>
      <c r="K19" s="23">
        <v>0.28374342393595559</v>
      </c>
      <c r="L19" s="23">
        <v>5.3398762757583262E-2</v>
      </c>
      <c r="M19" s="23">
        <v>6.5186336247547202E-2</v>
      </c>
      <c r="N19" s="23">
        <v>7.9952311148505109E-2</v>
      </c>
      <c r="O19" s="23">
        <v>0.10634640065683101</v>
      </c>
      <c r="P19" s="23">
        <v>0</v>
      </c>
      <c r="Q19" s="23">
        <v>6.8246010382783787E-2</v>
      </c>
    </row>
    <row r="20" spans="1:17" x14ac:dyDescent="0.25">
      <c r="A20" s="1" t="s">
        <v>95</v>
      </c>
      <c r="B20" s="1">
        <f>'Direct Recycling LFP_CAM'!AG6</f>
        <v>2.8601335050360333</v>
      </c>
      <c r="C20" s="23">
        <f>B20/SUM($B$19:$B$21)</f>
        <v>0.42893003357954801</v>
      </c>
      <c r="G20" s="23">
        <v>1.1804211089833727E-3</v>
      </c>
      <c r="H20" s="23">
        <v>0.56499858094496436</v>
      </c>
      <c r="I20" s="23">
        <v>2.6225974826639461E-2</v>
      </c>
      <c r="J20" s="23">
        <v>7.4155575695446285E-2</v>
      </c>
      <c r="K20" s="23">
        <v>3.364479413405233E-2</v>
      </c>
      <c r="L20" s="23">
        <v>6.3317427944955722E-3</v>
      </c>
      <c r="M20" s="23">
        <v>7.7294508996157982E-3</v>
      </c>
      <c r="N20" s="23">
        <v>2.789198810152578E-2</v>
      </c>
      <c r="O20" s="23">
        <v>0.11605933882892527</v>
      </c>
      <c r="P20" s="23">
        <v>0</v>
      </c>
      <c r="Q20" s="23">
        <v>8.2639350751554916E-2</v>
      </c>
    </row>
    <row r="21" spans="1:17" x14ac:dyDescent="0.25">
      <c r="A21" s="1" t="s">
        <v>96</v>
      </c>
      <c r="B21" s="1">
        <f>'Direct Recycling LFP_CAM'!AN7</f>
        <v>9.9982833111682115E-2</v>
      </c>
      <c r="C21" s="23">
        <f>B21/SUM($B$19:$B$21)</f>
        <v>1.4994279074197224E-2</v>
      </c>
      <c r="G21" s="23">
        <v>1.3170529786688129E-3</v>
      </c>
      <c r="H21" s="23">
        <v>0.58764605692112515</v>
      </c>
      <c r="I21" s="23">
        <v>1.6275811377160287E-2</v>
      </c>
      <c r="J21" s="23">
        <v>6.8197530737655693E-2</v>
      </c>
      <c r="K21" s="23">
        <v>2.0863278482301705E-2</v>
      </c>
      <c r="L21" s="23">
        <v>3.926340362599136E-3</v>
      </c>
      <c r="M21" s="23">
        <v>4.7930650427355946E-3</v>
      </c>
      <c r="N21" s="23">
        <v>6.0340635079971457E-2</v>
      </c>
      <c r="O21" s="23">
        <v>4.3633099807864638E-2</v>
      </c>
      <c r="P21" s="23">
        <v>0</v>
      </c>
      <c r="Q21" s="23">
        <v>0.13386434729612065</v>
      </c>
    </row>
    <row r="22" spans="1:17" x14ac:dyDescent="0.25">
      <c r="G22" s="23">
        <v>3.2705884344740033E-3</v>
      </c>
      <c r="H22" s="23">
        <v>0.63143681327023837</v>
      </c>
      <c r="I22" s="23">
        <v>2.1736883081681573E-2</v>
      </c>
      <c r="J22" s="23">
        <v>4.9690234366091528E-3</v>
      </c>
      <c r="K22" s="23">
        <v>9.8321338479651667E-3</v>
      </c>
      <c r="L22" s="23">
        <v>1.8503469629900585E-3</v>
      </c>
      <c r="M22" s="23">
        <v>2.2588040073450695E-3</v>
      </c>
      <c r="N22" s="23">
        <v>6.8813036860549074E-3</v>
      </c>
      <c r="O22" s="23">
        <v>5.8092638325863519E-2</v>
      </c>
      <c r="P22" s="23">
        <v>0</v>
      </c>
      <c r="Q22" s="23">
        <v>0.20052868303298127</v>
      </c>
    </row>
    <row r="23" spans="1:17" x14ac:dyDescent="0.25">
      <c r="G23" s="23">
        <v>1.7269810392398172E-3</v>
      </c>
      <c r="H23" s="23">
        <v>0.60327289504021175</v>
      </c>
      <c r="I23" s="23">
        <v>3.0442623769889661E-2</v>
      </c>
      <c r="J23" s="23">
        <v>5.1160169242142534E-2</v>
      </c>
      <c r="K23" s="23">
        <v>5.5280998539455978E-2</v>
      </c>
      <c r="L23" s="23">
        <v>1.0403543049783614E-2</v>
      </c>
      <c r="M23" s="23">
        <v>1.2700085552314022E-2</v>
      </c>
      <c r="N23" s="23">
        <v>2.9028405603292094E-2</v>
      </c>
      <c r="O23" s="23">
        <v>4.4181694673848679E-2</v>
      </c>
      <c r="P23" s="23">
        <v>0</v>
      </c>
      <c r="Q23" s="23">
        <v>0.10265982157602502</v>
      </c>
    </row>
    <row r="24" spans="1:17" x14ac:dyDescent="0.25">
      <c r="G24" s="23">
        <v>4.2812509609002495E-3</v>
      </c>
      <c r="H24" s="23">
        <v>0.77128301825139323</v>
      </c>
      <c r="I24" s="23">
        <v>1.7788775299004529E-2</v>
      </c>
      <c r="J24" s="23">
        <v>2.341727119285501E-2</v>
      </c>
      <c r="K24" s="23">
        <v>9.1974432197645378E-3</v>
      </c>
      <c r="L24" s="23">
        <v>1.7309021004109821E-3</v>
      </c>
      <c r="M24" s="23">
        <v>2.1129921463012287E-3</v>
      </c>
      <c r="N24" s="23">
        <v>3.817309975762892E-3</v>
      </c>
      <c r="O24" s="23">
        <v>3.8682758794589593E-2</v>
      </c>
      <c r="P24" s="23">
        <v>0</v>
      </c>
      <c r="Q24" s="23">
        <v>6.8545496145220597E-2</v>
      </c>
    </row>
  </sheetData>
  <conditionalFormatting sqref="E6:E12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{1913DE72-C217-724A-BE09-BF011DFB79CA}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13DE72-C217-724A-BE09-BF011DFB79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E6:E12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A9FBB-4366-8A42-9CD3-6B667BB5F19D}">
  <dimension ref="A1:R38"/>
  <sheetViews>
    <sheetView zoomScale="93" zoomScaleNormal="93" workbookViewId="0">
      <selection activeCell="I40" sqref="I40"/>
    </sheetView>
  </sheetViews>
  <sheetFormatPr defaultColWidth="10.875" defaultRowHeight="15.75" x14ac:dyDescent="0.25"/>
  <cols>
    <col min="1" max="1" width="10.875" style="1"/>
    <col min="2" max="2" width="44" style="1" customWidth="1"/>
    <col min="3" max="3" width="14.125" style="1" customWidth="1"/>
    <col min="4" max="4" width="11.625" style="1" bestFit="1" customWidth="1"/>
    <col min="5" max="5" width="53.875" style="1" customWidth="1"/>
    <col min="6" max="6" width="10.875" style="1"/>
    <col min="7" max="7" width="16.5" style="1" customWidth="1"/>
    <col min="8" max="8" width="10.875" style="1" customWidth="1"/>
    <col min="9" max="16384" width="10.875" style="1"/>
  </cols>
  <sheetData>
    <row r="1" spans="1:18" ht="20.25" thickBot="1" x14ac:dyDescent="0.35">
      <c r="A1" s="2" t="s">
        <v>70</v>
      </c>
      <c r="B1" s="2"/>
    </row>
    <row r="2" spans="1:18" ht="16.5" thickTop="1" x14ac:dyDescent="0.25"/>
    <row r="4" spans="1:18" x14ac:dyDescent="0.25">
      <c r="G4" s="1" t="s">
        <v>86</v>
      </c>
    </row>
    <row r="5" spans="1:18" ht="31.5" x14ac:dyDescent="0.25">
      <c r="B5" s="26" t="s">
        <v>57</v>
      </c>
      <c r="C5" s="26" t="s">
        <v>87</v>
      </c>
      <c r="D5" s="27" t="s">
        <v>88</v>
      </c>
      <c r="E5" s="26" t="s">
        <v>89</v>
      </c>
      <c r="G5" s="15" t="str">
        <f>'Direct Recycling LFP_CAM'!C92</f>
        <v>Deionised water</v>
      </c>
      <c r="H5" s="15" t="str">
        <f>'Direct Recycling LFP_CAM'!D92</f>
        <v>Electricity</v>
      </c>
      <c r="I5" s="15" t="str">
        <f>'Direct Recycling LFP_CAM'!E92</f>
        <v>Waste electrolyte</v>
      </c>
      <c r="J5" s="15" t="str">
        <f>'Direct Recycling LFP_CAM'!F92</f>
        <v>Waste separator</v>
      </c>
      <c r="K5" s="15" t="str">
        <f>'Direct Recycling LFP_CAM'!G92</f>
        <v>Waste casing</v>
      </c>
      <c r="L5" s="15" t="str">
        <f>'Direct Recycling LFP_CAM'!H92</f>
        <v>Waste Al foil</v>
      </c>
      <c r="M5" s="15" t="str">
        <f>'Direct Recycling LFP_CAM'!I92</f>
        <v>Waste Cu foil</v>
      </c>
      <c r="N5" s="15" t="str">
        <f>'Direct Recycling LFP_CAM'!J92</f>
        <v>Waste graphite</v>
      </c>
      <c r="O5" s="15" t="str">
        <f>'Direct Recycling LFP_CAM'!K92</f>
        <v>Material losses</v>
      </c>
      <c r="P5" s="15" t="str">
        <f>'Direct Recycling LFP_CAM'!L92</f>
        <v>Water evaporation</v>
      </c>
      <c r="Q5" s="15" t="str">
        <f>'Direct Recycling LFP_CAM'!M92</f>
        <v>Lithium carbonate</v>
      </c>
      <c r="R5" s="1" t="s">
        <v>90</v>
      </c>
    </row>
    <row r="6" spans="1:18" x14ac:dyDescent="0.25">
      <c r="B6" t="s">
        <v>172</v>
      </c>
      <c r="C6" t="s">
        <v>173</v>
      </c>
      <c r="D6" s="28">
        <f>SUM('Direct Recycling LFP_CAM'!C93:M93)/'Direct Recycling LFP_CAM'!$AP$13</f>
        <v>7.8660271911286297E-3</v>
      </c>
      <c r="E6" s="29"/>
      <c r="G6" s="23">
        <f>'Direct Recycling LFP_CAM'!C93/'Impact assesment'!$D6</f>
        <v>1.4898659414900929E-3</v>
      </c>
      <c r="H6" s="23">
        <f>'Direct Recycling LFP_CAM'!D93/'Impact assesment'!$D6</f>
        <v>0.77873797835719571</v>
      </c>
      <c r="I6" s="23">
        <f>'Direct Recycling LFP_CAM'!E93/'Impact assesment'!$D6</f>
        <v>1.3902156001744607E-2</v>
      </c>
      <c r="J6" s="23">
        <f>'Direct Recycling LFP_CAM'!F93/'Impact assesment'!$D6</f>
        <v>1.277319481001051E-2</v>
      </c>
      <c r="K6" s="23">
        <f>'Direct Recycling LFP_CAM'!G93/'Impact assesment'!$D6</f>
        <v>2.4524010623165969E-2</v>
      </c>
      <c r="L6" s="23">
        <f>'Direct Recycling LFP_CAM'!H93/'Impact assesment'!$D6</f>
        <v>4.6152675785940782E-3</v>
      </c>
      <c r="M6" s="23">
        <f>'Direct Recycling LFP_CAM'!I93/'Impact assesment'!$D6</f>
        <v>5.6340703176294468E-3</v>
      </c>
      <c r="N6" s="23">
        <f>'Direct Recycling LFP_CAM'!J93/'Impact assesment'!$D6</f>
        <v>1.5338879207278737E-2</v>
      </c>
      <c r="O6" s="23">
        <f>'Direct Recycling LFP_CAM'!K93/'Impact assesment'!$D6</f>
        <v>2.7736377599012565E-2</v>
      </c>
      <c r="P6" s="23">
        <f>'Direct Recycling LFP_CAM'!L93/'Impact assesment'!$D6</f>
        <v>0</v>
      </c>
      <c r="Q6" s="23">
        <f>'Direct Recycling LFP_CAM'!M93/'Impact assesment'!$D6</f>
        <v>5.6105417650081341E-2</v>
      </c>
      <c r="R6" s="25">
        <f>SUM(G6:Q6)</f>
        <v>0.94085721808620315</v>
      </c>
    </row>
    <row r="7" spans="1:18" x14ac:dyDescent="0.25">
      <c r="B7" t="s">
        <v>65</v>
      </c>
      <c r="C7" t="s">
        <v>66</v>
      </c>
      <c r="D7" s="28">
        <f>SUM('Direct Recycling LFP_CAM'!C94:M94)/'Direct Recycling LFP_CAM'!$AP$13</f>
        <v>4.3320784190202497</v>
      </c>
      <c r="E7" s="29"/>
      <c r="G7" s="23">
        <f>'Direct Recycling LFP_CAM'!C94/'Impact assesment'!$D7</f>
        <v>2.4991282729773767E-4</v>
      </c>
      <c r="H7" s="23">
        <f>'Direct Recycling LFP_CAM'!D94/'Impact assesment'!$D7</f>
        <v>0.65906277537882541</v>
      </c>
      <c r="I7" s="23">
        <f>'Direct Recycling LFP_CAM'!E94/'Impact assesment'!$D7</f>
        <v>4.4532274989459962E-2</v>
      </c>
      <c r="J7" s="23">
        <f>'Direct Recycling LFP_CAM'!F94/'Impact assesment'!$D7</f>
        <v>8.0823294669185752E-2</v>
      </c>
      <c r="K7" s="23">
        <f>'Direct Recycling LFP_CAM'!G94/'Impact assesment'!$D7</f>
        <v>6.9969788553554584E-3</v>
      </c>
      <c r="L7" s="23">
        <f>'Direct Recycling LFP_CAM'!H94/'Impact assesment'!$D7</f>
        <v>1.3167882755981879E-3</v>
      </c>
      <c r="M7" s="23">
        <f>'Direct Recycling LFP_CAM'!I94/'Impact assesment'!$D7</f>
        <v>1.6074642719653932E-3</v>
      </c>
      <c r="N7" s="23">
        <f>'Direct Recycling LFP_CAM'!J94/'Impact assesment'!$D7</f>
        <v>9.9023125264244519E-2</v>
      </c>
      <c r="O7" s="23">
        <f>'Direct Recycling LFP_CAM'!K94/'Impact assesment'!$D7</f>
        <v>3.6056415338285908E-2</v>
      </c>
      <c r="P7" s="23">
        <f>'Direct Recycling LFP_CAM'!L94/'Impact assesment'!$D7</f>
        <v>0</v>
      </c>
      <c r="Q7" s="23">
        <f>'Direct Recycling LFP_CAM'!M94/'Impact assesment'!$D7</f>
        <v>1.1188188215984633E-2</v>
      </c>
      <c r="R7" s="25">
        <f t="shared" ref="R7:R30" si="0">SUM(G7:Q7)</f>
        <v>0.94085721808620282</v>
      </c>
    </row>
    <row r="8" spans="1:18" x14ac:dyDescent="0.25">
      <c r="B8" t="s">
        <v>174</v>
      </c>
      <c r="C8" t="s">
        <v>66</v>
      </c>
      <c r="D8" s="28">
        <f>SUM('Direct Recycling LFP_CAM'!C95:M95)/'Direct Recycling LFP_CAM'!$AP$13</f>
        <v>0.41638289512274362</v>
      </c>
      <c r="E8" s="29"/>
      <c r="G8" s="23">
        <f>'Direct Recycling LFP_CAM'!C95/'Impact assesment'!$D8</f>
        <v>2.0827248632468036E-4</v>
      </c>
      <c r="H8" s="23">
        <f>'Direct Recycling LFP_CAM'!D95/'Impact assesment'!$D8</f>
        <v>8.220124746161733E-4</v>
      </c>
      <c r="I8" s="23">
        <f>'Direct Recycling LFP_CAM'!E95/'Impact assesment'!$D8</f>
        <v>4.8503410623909766E-5</v>
      </c>
      <c r="J8" s="23">
        <f>'Direct Recycling LFP_CAM'!F95/'Impact assesment'!$D8</f>
        <v>5.144349793549871E-5</v>
      </c>
      <c r="K8" s="23">
        <f>'Direct Recycling LFP_CAM'!G95/'Impact assesment'!$D8</f>
        <v>1.7995004886384413E-4</v>
      </c>
      <c r="L8" s="23">
        <f>'Direct Recycling LFP_CAM'!H95/'Impact assesment'!$D8</f>
        <v>3.3865489582816984E-5</v>
      </c>
      <c r="M8" s="23">
        <f>'Direct Recycling LFP_CAM'!I95/'Impact assesment'!$D8</f>
        <v>4.13411674190862E-5</v>
      </c>
      <c r="N8" s="23">
        <f>'Direct Recycling LFP_CAM'!J95/'Impact assesment'!$D8</f>
        <v>0.93863450751711752</v>
      </c>
      <c r="O8" s="23">
        <f>'Direct Recycling LFP_CAM'!K95/'Impact assesment'!$D8</f>
        <v>1.236955748399127E-4</v>
      </c>
      <c r="P8" s="23">
        <f>'Direct Recycling LFP_CAM'!L95/'Impact assesment'!$D8</f>
        <v>0</v>
      </c>
      <c r="Q8" s="23">
        <f>'Direct Recycling LFP_CAM'!M95/'Impact assesment'!$D8</f>
        <v>7.1362641887955948E-4</v>
      </c>
      <c r="R8" s="25">
        <f t="shared" si="0"/>
        <v>0.94085721808620293</v>
      </c>
    </row>
    <row r="9" spans="1:18" x14ac:dyDescent="0.25">
      <c r="B9" t="s">
        <v>175</v>
      </c>
      <c r="C9" t="s">
        <v>66</v>
      </c>
      <c r="D9" s="28">
        <f>SUM('Direct Recycling LFP_CAM'!C96:M96)/'Direct Recycling LFP_CAM'!$AP$13</f>
        <v>3.9151724548878435</v>
      </c>
      <c r="E9" s="29"/>
      <c r="G9" s="23">
        <f>'Direct Recycling LFP_CAM'!C96/'Impact assesment'!$D9</f>
        <v>2.5402524088799597E-4</v>
      </c>
      <c r="H9" s="23">
        <f>'Direct Recycling LFP_CAM'!D96/'Impact assesment'!$D9</f>
        <v>0.72907508035417323</v>
      </c>
      <c r="I9" s="23">
        <f>'Direct Recycling LFP_CAM'!E96/'Impact assesment'!$D9</f>
        <v>4.9265618287256945E-2</v>
      </c>
      <c r="J9" s="23">
        <f>'Direct Recycling LFP_CAM'!F96/'Impact assesment'!$D9</f>
        <v>8.9423129562150636E-2</v>
      </c>
      <c r="K9" s="23">
        <f>'Direct Recycling LFP_CAM'!G96/'Impact assesment'!$D9</f>
        <v>7.7146337168922377E-3</v>
      </c>
      <c r="L9" s="23">
        <f>'Direct Recycling LFP_CAM'!H96/'Impact assesment'!$D9</f>
        <v>1.4518464953145978E-3</v>
      </c>
      <c r="M9" s="23">
        <f>'Direct Recycling LFP_CAM'!I96/'Impact assesment'!$D9</f>
        <v>1.7723360792654369E-3</v>
      </c>
      <c r="N9" s="23">
        <f>'Direct Recycling LFP_CAM'!J96/'Impact assesment'!$D9</f>
        <v>9.7388450161581715E-3</v>
      </c>
      <c r="O9" s="23">
        <f>'Direct Recycling LFP_CAM'!K96/'Impact assesment'!$D9</f>
        <v>3.9872941419148836E-2</v>
      </c>
      <c r="P9" s="23">
        <f>'Direct Recycling LFP_CAM'!L96/'Impact assesment'!$D9</f>
        <v>0</v>
      </c>
      <c r="Q9" s="23">
        <f>'Direct Recycling LFP_CAM'!M96/'Impact assesment'!$D9</f>
        <v>1.2288761914954769E-2</v>
      </c>
      <c r="R9" s="25">
        <f t="shared" si="0"/>
        <v>0.94085721808620282</v>
      </c>
    </row>
    <row r="10" spans="1:18" x14ac:dyDescent="0.25">
      <c r="B10" t="s">
        <v>176</v>
      </c>
      <c r="C10" t="s">
        <v>66</v>
      </c>
      <c r="D10" s="28">
        <f>SUM('Direct Recycling LFP_CAM'!C97:M97)/'Direct Recycling LFP_CAM'!$AP$13</f>
        <v>5.2306900966353845E-4</v>
      </c>
      <c r="E10" s="29"/>
      <c r="G10" s="23">
        <f>'Direct Recycling LFP_CAM'!C97/'Impact assesment'!$D10</f>
        <v>2.6157905484227228E-3</v>
      </c>
      <c r="H10" s="23">
        <f>'Direct Recycling LFP_CAM'!D97/'Impact assesment'!$D10</f>
        <v>0.60160688279900953</v>
      </c>
      <c r="I10" s="23">
        <f>'Direct Recycling LFP_CAM'!E97/'Impact assesment'!$D10</f>
        <v>2.6229330423260269E-2</v>
      </c>
      <c r="J10" s="23">
        <f>'Direct Recycling LFP_CAM'!F97/'Impact assesment'!$D10</f>
        <v>8.5203026885182949E-3</v>
      </c>
      <c r="K10" s="23">
        <f>'Direct Recycling LFP_CAM'!G97/'Impact assesment'!$D10</f>
        <v>6.1964189769756081E-2</v>
      </c>
      <c r="L10" s="23">
        <f>'Direct Recycling LFP_CAM'!H97/'Impact assesment'!$D10</f>
        <v>1.1661278429232995E-2</v>
      </c>
      <c r="M10" s="23">
        <f>'Direct Recycling LFP_CAM'!I97/'Impact assesment'!$D10</f>
        <v>1.4235461226230376E-2</v>
      </c>
      <c r="N10" s="23">
        <f>'Direct Recycling LFP_CAM'!J97/'Impact assesment'!$D10</f>
        <v>2.9312555546497237E-2</v>
      </c>
      <c r="O10" s="23">
        <f>'Direct Recycling LFP_CAM'!K97/'Impact assesment'!$D10</f>
        <v>7.3168343637653024E-2</v>
      </c>
      <c r="P10" s="23">
        <f>'Direct Recycling LFP_CAM'!L97/'Impact assesment'!$D10</f>
        <v>0</v>
      </c>
      <c r="Q10" s="23">
        <f>'Direct Recycling LFP_CAM'!M97/'Impact assesment'!$D10</f>
        <v>0.11154308301762245</v>
      </c>
      <c r="R10" s="25">
        <f t="shared" si="0"/>
        <v>0.94085721808620315</v>
      </c>
    </row>
    <row r="11" spans="1:18" x14ac:dyDescent="0.25">
      <c r="B11" t="s">
        <v>177</v>
      </c>
      <c r="C11" t="s">
        <v>178</v>
      </c>
      <c r="D11" s="28">
        <f>SUM('Direct Recycling LFP_CAM'!C98:M98)/'Direct Recycling LFP_CAM'!$AP$13</f>
        <v>22.485499435731359</v>
      </c>
      <c r="E11" s="29"/>
      <c r="G11" s="23">
        <f>'Direct Recycling LFP_CAM'!C98/'Impact assesment'!$D11</f>
        <v>5.6263503144136301E-3</v>
      </c>
      <c r="H11" s="23">
        <f>'Direct Recycling LFP_CAM'!D98/'Impact assesment'!$D11</f>
        <v>0.17806675179752549</v>
      </c>
      <c r="I11" s="23">
        <f>'Direct Recycling LFP_CAM'!E98/'Impact assesment'!$D11</f>
        <v>6.6946616726687697E-2</v>
      </c>
      <c r="J11" s="23">
        <f>'Direct Recycling LFP_CAM'!F98/'Impact assesment'!$D11</f>
        <v>3.334425411837031E-2</v>
      </c>
      <c r="K11" s="23">
        <f>'Direct Recycling LFP_CAM'!G98/'Impact assesment'!$D11</f>
        <v>0.28374342393595559</v>
      </c>
      <c r="L11" s="23">
        <f>'Direct Recycling LFP_CAM'!H98/'Impact assesment'!$D11</f>
        <v>5.3398762757583262E-2</v>
      </c>
      <c r="M11" s="23">
        <f>'Direct Recycling LFP_CAM'!I98/'Impact assesment'!$D11</f>
        <v>6.5186336247547202E-2</v>
      </c>
      <c r="N11" s="23">
        <f>'Direct Recycling LFP_CAM'!J98/'Impact assesment'!$D11</f>
        <v>7.9952311148505109E-2</v>
      </c>
      <c r="O11" s="23">
        <f>'Direct Recycling LFP_CAM'!K98/'Impact assesment'!$D11</f>
        <v>0.10634640065683101</v>
      </c>
      <c r="P11" s="23">
        <f>'Direct Recycling LFP_CAM'!L98/'Impact assesment'!$D11</f>
        <v>0</v>
      </c>
      <c r="Q11" s="23">
        <f>'Direct Recycling LFP_CAM'!M98/'Impact assesment'!$D11</f>
        <v>6.8246010382783787E-2</v>
      </c>
      <c r="R11" s="25">
        <f t="shared" si="0"/>
        <v>0.94085721808620304</v>
      </c>
    </row>
    <row r="12" spans="1:18" x14ac:dyDescent="0.25">
      <c r="B12" t="s">
        <v>179</v>
      </c>
      <c r="C12" t="s">
        <v>178</v>
      </c>
      <c r="D12" s="28">
        <f>SUM('Direct Recycling LFP_CAM'!C99:M99)/'Direct Recycling LFP_CAM'!$AP$13</f>
        <v>21.502845136807306</v>
      </c>
      <c r="E12" s="29"/>
      <c r="G12" s="23">
        <f>'Direct Recycling LFP_CAM'!C99/'Impact assesment'!$D12</f>
        <v>5.8565543277355357E-3</v>
      </c>
      <c r="H12" s="23">
        <f>'Direct Recycling LFP_CAM'!D99/'Impact assesment'!$D12</f>
        <v>0.14662851563976578</v>
      </c>
      <c r="I12" s="23">
        <f>'Direct Recycling LFP_CAM'!E99/'Impact assesment'!$D12</f>
        <v>6.9765615388865485E-2</v>
      </c>
      <c r="J12" s="23">
        <f>'Direct Recycling LFP_CAM'!F99/'Impact assesment'!$D12</f>
        <v>3.4734826207546893E-2</v>
      </c>
      <c r="K12" s="23">
        <f>'Direct Recycling LFP_CAM'!G99/'Impact assesment'!$D12</f>
        <v>0.29632003513637667</v>
      </c>
      <c r="L12" s="23">
        <f>'Direct Recycling LFP_CAM'!H99/'Impact assesment'!$D12</f>
        <v>5.57656034352274E-2</v>
      </c>
      <c r="M12" s="23">
        <f>'Direct Recycling LFP_CAM'!I99/'Impact assesment'!$D12</f>
        <v>6.8075647989800508E-2</v>
      </c>
      <c r="N12" s="23">
        <f>'Direct Recycling LFP_CAM'!J99/'Impact assesment'!$D12</f>
        <v>8.3112989506853682E-2</v>
      </c>
      <c r="O12" s="23">
        <f>'Direct Recycling LFP_CAM'!K99/'Impact assesment'!$D12</f>
        <v>0.11053545129883353</v>
      </c>
      <c r="P12" s="23">
        <f>'Direct Recycling LFP_CAM'!L99/'Impact assesment'!$D12</f>
        <v>0</v>
      </c>
      <c r="Q12" s="23">
        <f>'Direct Recycling LFP_CAM'!M99/'Impact assesment'!$D12</f>
        <v>7.006197915519774E-2</v>
      </c>
      <c r="R12" s="25">
        <f t="shared" si="0"/>
        <v>0.94085721808620315</v>
      </c>
    </row>
    <row r="13" spans="1:18" x14ac:dyDescent="0.25">
      <c r="B13" t="s">
        <v>180</v>
      </c>
      <c r="C13" t="s">
        <v>178</v>
      </c>
      <c r="D13" s="28">
        <f>SUM('Direct Recycling LFP_CAM'!C100:M100)/'Direct Recycling LFP_CAM'!$AP$13</f>
        <v>0.98265429892407075</v>
      </c>
      <c r="E13" s="29"/>
      <c r="G13" s="23">
        <f>'Direct Recycling LFP_CAM'!C100/'Impact assesment'!$D13</f>
        <v>5.8893150522269105E-4</v>
      </c>
      <c r="H13" s="23">
        <f>'Direct Recycling LFP_CAM'!D100/'Impact assesment'!$D13</f>
        <v>0.86601115321607336</v>
      </c>
      <c r="I13" s="23">
        <f>'Direct Recycling LFP_CAM'!E100/'Impact assesment'!$D13</f>
        <v>5.2601296884190064E-3</v>
      </c>
      <c r="J13" s="23">
        <f>'Direct Recycling LFP_CAM'!F100/'Impact assesment'!$D13</f>
        <v>2.9151842838711084E-3</v>
      </c>
      <c r="K13" s="23">
        <f>'Direct Recycling LFP_CAM'!G100/'Impact assesment'!$D13</f>
        <v>8.5368499815245795E-3</v>
      </c>
      <c r="L13" s="23">
        <f>'Direct Recycling LFP_CAM'!H100/'Impact assesment'!$D13</f>
        <v>1.60658252634395E-3</v>
      </c>
      <c r="M13" s="23">
        <f>'Direct Recycling LFP_CAM'!I100/'Impact assesment'!$D13</f>
        <v>1.961229499775593E-3</v>
      </c>
      <c r="N13" s="23">
        <f>'Direct Recycling LFP_CAM'!J100/'Impact assesment'!$D13</f>
        <v>1.0789048604145899E-2</v>
      </c>
      <c r="O13" s="23">
        <f>'Direct Recycling LFP_CAM'!K100/'Impact assesment'!$D13</f>
        <v>1.4679873248516726E-2</v>
      </c>
      <c r="P13" s="23">
        <f>'Direct Recycling LFP_CAM'!L100/'Impact assesment'!$D13</f>
        <v>0</v>
      </c>
      <c r="Q13" s="23">
        <f>'Direct Recycling LFP_CAM'!M100/'Impact assesment'!$D13</f>
        <v>2.8508235532310085E-2</v>
      </c>
      <c r="R13" s="25">
        <f t="shared" si="0"/>
        <v>0.94085721808620304</v>
      </c>
    </row>
    <row r="14" spans="1:18" x14ac:dyDescent="0.25">
      <c r="B14" t="s">
        <v>181</v>
      </c>
      <c r="C14" t="s">
        <v>182</v>
      </c>
      <c r="D14" s="28">
        <f>SUM('Direct Recycling LFP_CAM'!C101:M101)/'Direct Recycling LFP_CAM'!$AP$13</f>
        <v>73.082755049964348</v>
      </c>
      <c r="E14" s="29"/>
      <c r="G14" s="23">
        <f>'Direct Recycling LFP_CAM'!C101/'Impact assesment'!$D14</f>
        <v>1.8336136488483588E-4</v>
      </c>
      <c r="H14" s="23">
        <f>'Direct Recycling LFP_CAM'!D101/'Impact assesment'!$D14</f>
        <v>0.90482397244404811</v>
      </c>
      <c r="I14" s="23">
        <f>'Direct Recycling LFP_CAM'!E101/'Impact assesment'!$D14</f>
        <v>3.9544321580517322E-3</v>
      </c>
      <c r="J14" s="23">
        <f>'Direct Recycling LFP_CAM'!F101/'Impact assesment'!$D14</f>
        <v>1.6142019916482893E-3</v>
      </c>
      <c r="K14" s="23">
        <f>'Direct Recycling LFP_CAM'!G101/'Impact assesment'!$D14</f>
        <v>5.9453093009933468E-3</v>
      </c>
      <c r="L14" s="23">
        <f>'Direct Recycling LFP_CAM'!H101/'Impact assesment'!$D14</f>
        <v>1.1188705503034117E-3</v>
      </c>
      <c r="M14" s="23">
        <f>'Direct Recycling LFP_CAM'!I101/'Impact assesment'!$D14</f>
        <v>1.3658569626540402E-3</v>
      </c>
      <c r="N14" s="23">
        <f>'Direct Recycling LFP_CAM'!J101/'Impact assesment'!$D14</f>
        <v>3.3295878073083371E-3</v>
      </c>
      <c r="O14" s="23">
        <f>'Direct Recycling LFP_CAM'!K101/'Impact assesment'!$D14</f>
        <v>1.0453573098576819E-2</v>
      </c>
      <c r="P14" s="23">
        <f>'Direct Recycling LFP_CAM'!L101/'Impact assesment'!$D14</f>
        <v>0</v>
      </c>
      <c r="Q14" s="23">
        <f>'Direct Recycling LFP_CAM'!M101/'Impact assesment'!$D14</f>
        <v>8.0680524077346265E-3</v>
      </c>
      <c r="R14" s="25">
        <f t="shared" si="0"/>
        <v>0.94085721808620359</v>
      </c>
    </row>
    <row r="15" spans="1:18" x14ac:dyDescent="0.25">
      <c r="B15" t="s">
        <v>183</v>
      </c>
      <c r="C15" t="s">
        <v>67</v>
      </c>
      <c r="D15" s="28">
        <f>SUM('Direct Recycling LFP_CAM'!C102:M102)/'Direct Recycling LFP_CAM'!$AP$13</f>
        <v>7.4934670025277776E-4</v>
      </c>
      <c r="E15" s="29"/>
      <c r="G15" s="23">
        <f>'Direct Recycling LFP_CAM'!C102/'Impact assesment'!$D15</f>
        <v>5.1833970385231404E-4</v>
      </c>
      <c r="H15" s="23">
        <f>'Direct Recycling LFP_CAM'!D102/'Impact assesment'!$D15</f>
        <v>0.75451187337789227</v>
      </c>
      <c r="I15" s="23">
        <f>'Direct Recycling LFP_CAM'!E102/'Impact assesment'!$D15</f>
        <v>3.6249697020573034E-2</v>
      </c>
      <c r="J15" s="23">
        <f>'Direct Recycling LFP_CAM'!F102/'Impact assesment'!$D15</f>
        <v>1.7547661345353061E-3</v>
      </c>
      <c r="K15" s="23">
        <f>'Direct Recycling LFP_CAM'!G102/'Impact assesment'!$D15</f>
        <v>1.1882480723054652E-2</v>
      </c>
      <c r="L15" s="23">
        <f>'Direct Recycling LFP_CAM'!H102/'Impact assesment'!$D15</f>
        <v>2.2362096019718451E-3</v>
      </c>
      <c r="M15" s="23">
        <f>'Direct Recycling LFP_CAM'!I102/'Impact assesment'!$D15</f>
        <v>2.7298443541827052E-3</v>
      </c>
      <c r="N15" s="23">
        <f>'Direct Recycling LFP_CAM'!J102/'Impact assesment'!$D15</f>
        <v>1.4931580543618117E-2</v>
      </c>
      <c r="O15" s="23">
        <f>'Direct Recycling LFP_CAM'!K102/'Impact assesment'!$D15</f>
        <v>5.7017735238325734E-2</v>
      </c>
      <c r="P15" s="23">
        <f>'Direct Recycling LFP_CAM'!L102/'Impact assesment'!$D15</f>
        <v>0</v>
      </c>
      <c r="Q15" s="23">
        <f>'Direct Recycling LFP_CAM'!M102/'Impact assesment'!$D15</f>
        <v>5.9024691388197041E-2</v>
      </c>
      <c r="R15" s="25">
        <f t="shared" si="0"/>
        <v>0.94085721808620282</v>
      </c>
    </row>
    <row r="16" spans="1:18" x14ac:dyDescent="0.25">
      <c r="B16" t="s">
        <v>184</v>
      </c>
      <c r="C16" t="s">
        <v>68</v>
      </c>
      <c r="D16" s="28">
        <f>SUM('Direct Recycling LFP_CAM'!C103:M103)/'Direct Recycling LFP_CAM'!$AP$13</f>
        <v>3.7301323376861505E-3</v>
      </c>
      <c r="E16" s="29"/>
      <c r="G16" s="23">
        <f>'Direct Recycling LFP_CAM'!C103/'Impact assesment'!$D16</f>
        <v>2.6509580085639517E-4</v>
      </c>
      <c r="H16" s="23">
        <f>'Direct Recycling LFP_CAM'!D103/'Impact assesment'!$D16</f>
        <v>0.45108262601762877</v>
      </c>
      <c r="I16" s="23">
        <f>'Direct Recycling LFP_CAM'!E103/'Impact assesment'!$D16</f>
        <v>1.1370169806520596E-2</v>
      </c>
      <c r="J16" s="23">
        <f>'Direct Recycling LFP_CAM'!F103/'Impact assesment'!$D16</f>
        <v>5.7465741999848073E-2</v>
      </c>
      <c r="K16" s="23">
        <f>'Direct Recycling LFP_CAM'!G103/'Impact assesment'!$D16</f>
        <v>1.3409617971093378E-2</v>
      </c>
      <c r="L16" s="23">
        <f>'Direct Recycling LFP_CAM'!H103/'Impact assesment'!$D16</f>
        <v>2.5236074153734862E-3</v>
      </c>
      <c r="M16" s="23">
        <f>'Direct Recycling LFP_CAM'!I103/'Impact assesment'!$D16</f>
        <v>3.0806841402327796E-3</v>
      </c>
      <c r="N16" s="23">
        <f>'Direct Recycling LFP_CAM'!J103/'Impact assesment'!$D16</f>
        <v>0.33655142062589499</v>
      </c>
      <c r="O16" s="23">
        <f>'Direct Recycling LFP_CAM'!K103/'Impact assesment'!$D16</f>
        <v>1.4672942167571404E-2</v>
      </c>
      <c r="P16" s="23">
        <f>'Direct Recycling LFP_CAM'!L103/'Impact assesment'!$D16</f>
        <v>0</v>
      </c>
      <c r="Q16" s="23">
        <f>'Direct Recycling LFP_CAM'!M103/'Impact assesment'!$D16</f>
        <v>5.0435312141183082E-2</v>
      </c>
      <c r="R16" s="25">
        <f t="shared" si="0"/>
        <v>0.94085721808620304</v>
      </c>
    </row>
    <row r="17" spans="2:18" x14ac:dyDescent="0.25">
      <c r="B17" t="s">
        <v>185</v>
      </c>
      <c r="C17" t="s">
        <v>186</v>
      </c>
      <c r="D17" s="28">
        <f>SUM('Direct Recycling LFP_CAM'!C104:M104)/'Direct Recycling LFP_CAM'!$AP$13</f>
        <v>2.2092914711193623E-2</v>
      </c>
      <c r="E17" s="29"/>
      <c r="G17" s="23">
        <f>'Direct Recycling LFP_CAM'!C104/'Impact assesment'!$D17</f>
        <v>4.5481024716498243E-4</v>
      </c>
      <c r="H17" s="23">
        <f>'Direct Recycling LFP_CAM'!D104/'Impact assesment'!$D17</f>
        <v>0.77203582855328978</v>
      </c>
      <c r="I17" s="23">
        <f>'Direct Recycling LFP_CAM'!E104/'Impact assesment'!$D17</f>
        <v>1.6361818738299418E-2</v>
      </c>
      <c r="J17" s="23">
        <f>'Direct Recycling LFP_CAM'!F104/'Impact assesment'!$D17</f>
        <v>2.157922684603162E-2</v>
      </c>
      <c r="K17" s="23">
        <f>'Direct Recycling LFP_CAM'!G104/'Impact assesment'!$D17</f>
        <v>2.4128945934697412E-2</v>
      </c>
      <c r="L17" s="23">
        <f>'Direct Recycling LFP_CAM'!H104/'Impact assesment'!$D17</f>
        <v>4.5409188402839628E-3</v>
      </c>
      <c r="M17" s="23">
        <f>'Direct Recycling LFP_CAM'!I104/'Impact assesment'!$D17</f>
        <v>5.54330937852181E-3</v>
      </c>
      <c r="N17" s="23">
        <f>'Direct Recycling LFP_CAM'!J104/'Impact assesment'!$D17</f>
        <v>1.5464735181699848E-2</v>
      </c>
      <c r="O17" s="23">
        <f>'Direct Recycling LFP_CAM'!K104/'Impact assesment'!$D17</f>
        <v>2.4097179135673098E-2</v>
      </c>
      <c r="P17" s="23">
        <f>'Direct Recycling LFP_CAM'!L104/'Impact assesment'!$D17</f>
        <v>0</v>
      </c>
      <c r="Q17" s="23">
        <f>'Direct Recycling LFP_CAM'!M104/'Impact assesment'!$D17</f>
        <v>5.6650445230541135E-2</v>
      </c>
      <c r="R17" s="25">
        <f t="shared" si="0"/>
        <v>0.94085721808620315</v>
      </c>
    </row>
    <row r="18" spans="2:18" x14ac:dyDescent="0.25">
      <c r="B18" t="s">
        <v>187</v>
      </c>
      <c r="C18" t="s">
        <v>188</v>
      </c>
      <c r="D18" s="28">
        <f>SUM('Direct Recycling LFP_CAM'!C105:M105)/'Direct Recycling LFP_CAM'!$AP$13</f>
        <v>8.1177139134876748E-10</v>
      </c>
      <c r="E18" s="29"/>
      <c r="G18" s="23">
        <f>'Direct Recycling LFP_CAM'!C105/'Impact assesment'!$D18</f>
        <v>1.1804211089833727E-3</v>
      </c>
      <c r="H18" s="23">
        <f>'Direct Recycling LFP_CAM'!D105/'Impact assesment'!$D18</f>
        <v>0.56499858094496436</v>
      </c>
      <c r="I18" s="23">
        <f>'Direct Recycling LFP_CAM'!E105/'Impact assesment'!$D18</f>
        <v>2.6225974826639461E-2</v>
      </c>
      <c r="J18" s="23">
        <f>'Direct Recycling LFP_CAM'!F105/'Impact assesment'!$D18</f>
        <v>7.4155575695446285E-2</v>
      </c>
      <c r="K18" s="23">
        <f>'Direct Recycling LFP_CAM'!G105/'Impact assesment'!$D18</f>
        <v>3.364479413405233E-2</v>
      </c>
      <c r="L18" s="23">
        <f>'Direct Recycling LFP_CAM'!H105/'Impact assesment'!$D18</f>
        <v>6.3317427944955722E-3</v>
      </c>
      <c r="M18" s="23">
        <f>'Direct Recycling LFP_CAM'!I105/'Impact assesment'!$D18</f>
        <v>7.7294508996157982E-3</v>
      </c>
      <c r="N18" s="23">
        <f>'Direct Recycling LFP_CAM'!J105/'Impact assesment'!$D18</f>
        <v>2.789198810152578E-2</v>
      </c>
      <c r="O18" s="23">
        <f>'Direct Recycling LFP_CAM'!K105/'Impact assesment'!$D18</f>
        <v>0.11605933882892527</v>
      </c>
      <c r="P18" s="23">
        <f>'Direct Recycling LFP_CAM'!L105/'Impact assesment'!$D18</f>
        <v>0</v>
      </c>
      <c r="Q18" s="23">
        <f>'Direct Recycling LFP_CAM'!M105/'Impact assesment'!$D18</f>
        <v>8.2639350751554916E-2</v>
      </c>
      <c r="R18" s="25">
        <f t="shared" si="0"/>
        <v>0.94085721808620326</v>
      </c>
    </row>
    <row r="19" spans="2:18" x14ac:dyDescent="0.25">
      <c r="B19" t="s">
        <v>189</v>
      </c>
      <c r="C19" t="s">
        <v>188</v>
      </c>
      <c r="D19" s="28">
        <f>SUM('Direct Recycling LFP_CAM'!C106:M106)/'Direct Recycling LFP_CAM'!$AP$13</f>
        <v>4.6010931442844692E-10</v>
      </c>
      <c r="E19" s="29"/>
      <c r="G19" s="23">
        <f>'Direct Recycling LFP_CAM'!C106/'Impact assesment'!$D19</f>
        <v>1.335061878725835E-3</v>
      </c>
      <c r="H19" s="23">
        <f>'Direct Recycling LFP_CAM'!D106/'Impact assesment'!$D19</f>
        <v>0.50277758910482484</v>
      </c>
      <c r="I19" s="23">
        <f>'Direct Recycling LFP_CAM'!E106/'Impact assesment'!$D19</f>
        <v>1.573367218390646E-2</v>
      </c>
      <c r="J19" s="23">
        <f>'Direct Recycling LFP_CAM'!F106/'Impact assesment'!$D19</f>
        <v>6.2124089254982175E-2</v>
      </c>
      <c r="K19" s="23">
        <f>'Direct Recycling LFP_CAM'!G106/'Impact assesment'!$D19</f>
        <v>1.6229471566089136E-2</v>
      </c>
      <c r="L19" s="23">
        <f>'Direct Recycling LFP_CAM'!H106/'Impact assesment'!$D19</f>
        <v>3.0542864740863451E-3</v>
      </c>
      <c r="M19" s="23">
        <f>'Direct Recycling LFP_CAM'!I106/'Impact assesment'!$D19</f>
        <v>3.7285085798706751E-3</v>
      </c>
      <c r="N19" s="23">
        <f>'Direct Recycling LFP_CAM'!J106/'Impact assesment'!$D19</f>
        <v>4.1824560447478232E-2</v>
      </c>
      <c r="O19" s="23">
        <f>'Direct Recycling LFP_CAM'!K106/'Impact assesment'!$D19</f>
        <v>0.17482693186751144</v>
      </c>
      <c r="P19" s="23">
        <f>'Direct Recycling LFP_CAM'!L106/'Impact assesment'!$D19</f>
        <v>0</v>
      </c>
      <c r="Q19" s="23">
        <f>'Direct Recycling LFP_CAM'!M106/'Impact assesment'!$D19</f>
        <v>0.11922304672872805</v>
      </c>
      <c r="R19" s="25">
        <f t="shared" si="0"/>
        <v>0.94085721808620304</v>
      </c>
    </row>
    <row r="20" spans="2:18" x14ac:dyDescent="0.25">
      <c r="B20" t="s">
        <v>190</v>
      </c>
      <c r="C20" t="s">
        <v>188</v>
      </c>
      <c r="D20" s="28">
        <f>SUM('Direct Recycling LFP_CAM'!C107:M107)/'Direct Recycling LFP_CAM'!$AP$13</f>
        <v>3.5166207692032072E-10</v>
      </c>
      <c r="E20" s="29"/>
      <c r="G20" s="23">
        <f>'Direct Recycling LFP_CAM'!C107/'Impact assesment'!$D20</f>
        <v>9.7809147716181738E-4</v>
      </c>
      <c r="H20" s="23">
        <f>'Direct Recycling LFP_CAM'!D107/'Impact assesment'!$D20</f>
        <v>0.6464075805997983</v>
      </c>
      <c r="I20" s="23">
        <f>'Direct Recycling LFP_CAM'!E107/'Impact assesment'!$D20</f>
        <v>3.9953944069161723E-2</v>
      </c>
      <c r="J20" s="23">
        <f>'Direct Recycling LFP_CAM'!F107/'Impact assesment'!$D20</f>
        <v>8.9897389615664264E-2</v>
      </c>
      <c r="K20" s="23">
        <f>'Direct Recycling LFP_CAM'!G107/'Impact assesment'!$D20</f>
        <v>5.643073738238092E-2</v>
      </c>
      <c r="L20" s="23">
        <f>'Direct Recycling LFP_CAM'!H107/'Impact assesment'!$D20</f>
        <v>1.0619916810468142E-2</v>
      </c>
      <c r="M20" s="23">
        <f>'Direct Recycling LFP_CAM'!I107/'Impact assesment'!$D20</f>
        <v>1.2964222996530838E-2</v>
      </c>
      <c r="N20" s="23">
        <f>'Direct Recycling LFP_CAM'!J107/'Impact assesment'!$D20</f>
        <v>9.662822288535957E-3</v>
      </c>
      <c r="O20" s="23">
        <f>'Direct Recycling LFP_CAM'!K107/'Impact assesment'!$D20</f>
        <v>3.9168713657191358E-2</v>
      </c>
      <c r="P20" s="23">
        <f>'Direct Recycling LFP_CAM'!L107/'Impact assesment'!$D20</f>
        <v>0</v>
      </c>
      <c r="Q20" s="23">
        <f>'Direct Recycling LFP_CAM'!M107/'Impact assesment'!$D20</f>
        <v>3.4773799189309576E-2</v>
      </c>
      <c r="R20" s="25">
        <f t="shared" si="0"/>
        <v>0.94085721808620293</v>
      </c>
    </row>
    <row r="21" spans="2:18" x14ac:dyDescent="0.25">
      <c r="B21" t="s">
        <v>191</v>
      </c>
      <c r="C21" t="s">
        <v>188</v>
      </c>
      <c r="D21" s="28">
        <f>SUM('Direct Recycling LFP_CAM'!C108:M108)/'Direct Recycling LFP_CAM'!$AP$13</f>
        <v>1.7126690647063836E-8</v>
      </c>
      <c r="E21" s="29"/>
      <c r="G21" s="23">
        <f>'Direct Recycling LFP_CAM'!C108/'Impact assesment'!$D21</f>
        <v>1.3170529786688129E-3</v>
      </c>
      <c r="H21" s="23">
        <f>'Direct Recycling LFP_CAM'!D108/'Impact assesment'!$D21</f>
        <v>0.58764605692112515</v>
      </c>
      <c r="I21" s="23">
        <f>'Direct Recycling LFP_CAM'!E108/'Impact assesment'!$D21</f>
        <v>1.6275811377160287E-2</v>
      </c>
      <c r="J21" s="23">
        <f>'Direct Recycling LFP_CAM'!F108/'Impact assesment'!$D21</f>
        <v>6.8197530737655693E-2</v>
      </c>
      <c r="K21" s="23">
        <f>'Direct Recycling LFP_CAM'!G108/'Impact assesment'!$D21</f>
        <v>2.0863278482301705E-2</v>
      </c>
      <c r="L21" s="23">
        <f>'Direct Recycling LFP_CAM'!H108/'Impact assesment'!$D21</f>
        <v>3.926340362599136E-3</v>
      </c>
      <c r="M21" s="23">
        <f>'Direct Recycling LFP_CAM'!I108/'Impact assesment'!$D21</f>
        <v>4.7930650427355946E-3</v>
      </c>
      <c r="N21" s="23">
        <f>'Direct Recycling LFP_CAM'!J108/'Impact assesment'!$D21</f>
        <v>6.0340635079971457E-2</v>
      </c>
      <c r="O21" s="23">
        <f>'Direct Recycling LFP_CAM'!K108/'Impact assesment'!$D21</f>
        <v>4.3633099807864638E-2</v>
      </c>
      <c r="P21" s="23">
        <f>'Direct Recycling LFP_CAM'!L108/'Impact assesment'!$D21</f>
        <v>0</v>
      </c>
      <c r="Q21" s="23">
        <f>'Direct Recycling LFP_CAM'!M108/'Impact assesment'!$D21</f>
        <v>0.13386434729612065</v>
      </c>
      <c r="R21" s="25">
        <f t="shared" si="0"/>
        <v>0.94085721808620304</v>
      </c>
    </row>
    <row r="22" spans="2:18" x14ac:dyDescent="0.25">
      <c r="B22" t="s">
        <v>192</v>
      </c>
      <c r="C22" t="s">
        <v>188</v>
      </c>
      <c r="D22" s="28">
        <f>SUM('Direct Recycling LFP_CAM'!C109:M109)/'Direct Recycling LFP_CAM'!$AP$13</f>
        <v>1.5775138493710655E-8</v>
      </c>
      <c r="E22" s="29"/>
      <c r="G22" s="23">
        <f>'Direct Recycling LFP_CAM'!C109/'Impact assesment'!$D22</f>
        <v>1.3713111972334965E-3</v>
      </c>
      <c r="H22" s="23">
        <f>'Direct Recycling LFP_CAM'!D109/'Impact assesment'!$D22</f>
        <v>0.61001002814353711</v>
      </c>
      <c r="I22" s="23">
        <f>'Direct Recycling LFP_CAM'!E109/'Impact assesment'!$D22</f>
        <v>1.7081371953465745E-2</v>
      </c>
      <c r="J22" s="23">
        <f>'Direct Recycling LFP_CAM'!F109/'Impact assesment'!$D22</f>
        <v>7.300476021073489E-2</v>
      </c>
      <c r="K22" s="23">
        <f>'Direct Recycling LFP_CAM'!G109/'Impact assesment'!$D22</f>
        <v>2.1962363030697939E-2</v>
      </c>
      <c r="L22" s="23">
        <f>'Direct Recycling LFP_CAM'!H109/'Impact assesment'!$D22</f>
        <v>4.1331812973993843E-3</v>
      </c>
      <c r="M22" s="23">
        <f>'Direct Recycling LFP_CAM'!I109/'Impact assesment'!$D22</f>
        <v>5.0455653260634359E-3</v>
      </c>
      <c r="N22" s="23">
        <f>'Direct Recycling LFP_CAM'!J109/'Impact assesment'!$D22</f>
        <v>2.0010857148423246E-2</v>
      </c>
      <c r="O22" s="23">
        <f>'Direct Recycling LFP_CAM'!K109/'Impact assesment'!$D22</f>
        <v>4.563853793770295E-2</v>
      </c>
      <c r="P22" s="23">
        <f>'Direct Recycling LFP_CAM'!L109/'Impact assesment'!$D22</f>
        <v>0</v>
      </c>
      <c r="Q22" s="23">
        <f>'Direct Recycling LFP_CAM'!M109/'Impact assesment'!$D22</f>
        <v>0.14259924184094497</v>
      </c>
      <c r="R22" s="25">
        <f t="shared" si="0"/>
        <v>0.94085721808620315</v>
      </c>
    </row>
    <row r="23" spans="2:18" x14ac:dyDescent="0.25">
      <c r="B23" t="s">
        <v>193</v>
      </c>
      <c r="C23" t="s">
        <v>188</v>
      </c>
      <c r="D23" s="28">
        <f>SUM('Direct Recycling LFP_CAM'!C110:M110)/'Direct Recycling LFP_CAM'!$AP$13</f>
        <v>1.3515521533531911E-9</v>
      </c>
      <c r="E23" s="29"/>
      <c r="G23" s="23">
        <f>'Direct Recycling LFP_CAM'!C110/'Impact assesment'!$D23</f>
        <v>6.8375820705652722E-4</v>
      </c>
      <c r="H23" s="23">
        <f>'Direct Recycling LFP_CAM'!D110/'Impact assesment'!$D23</f>
        <v>0.32661673413278469</v>
      </c>
      <c r="I23" s="23">
        <f>'Direct Recycling LFP_CAM'!E110/'Impact assesment'!$D23</f>
        <v>6.873414566379364E-3</v>
      </c>
      <c r="J23" s="23">
        <f>'Direct Recycling LFP_CAM'!F110/'Impact assesment'!$D23</f>
        <v>1.2088182296511646E-2</v>
      </c>
      <c r="K23" s="23">
        <f>'Direct Recycling LFP_CAM'!G110/'Impact assesment'!$D23</f>
        <v>8.0349085786820939E-3</v>
      </c>
      <c r="L23" s="23">
        <f>'Direct Recycling LFP_CAM'!H110/'Impact assesment'!$D23</f>
        <v>1.5121202494150433E-3</v>
      </c>
      <c r="M23" s="23">
        <f>'Direct Recycling LFP_CAM'!I110/'Impact assesment'!$D23</f>
        <v>1.845915035008857E-3</v>
      </c>
      <c r="N23" s="23">
        <f>'Direct Recycling LFP_CAM'!J110/'Impact assesment'!$D23</f>
        <v>0.53106448447959831</v>
      </c>
      <c r="O23" s="23">
        <f>'Direct Recycling LFP_CAM'!K110/'Impact assesment'!$D23</f>
        <v>2.0225890429906995E-2</v>
      </c>
      <c r="P23" s="23">
        <f>'Direct Recycling LFP_CAM'!L110/'Impact assesment'!$D23</f>
        <v>0</v>
      </c>
      <c r="Q23" s="23">
        <f>'Direct Recycling LFP_CAM'!M110/'Impact assesment'!$D23</f>
        <v>3.1911810110859529E-2</v>
      </c>
      <c r="R23" s="25">
        <f t="shared" si="0"/>
        <v>0.94085721808620304</v>
      </c>
    </row>
    <row r="24" spans="2:18" x14ac:dyDescent="0.25">
      <c r="B24" t="s">
        <v>194</v>
      </c>
      <c r="C24" t="s">
        <v>195</v>
      </c>
      <c r="D24" s="28">
        <f>SUM('Direct Recycling LFP_CAM'!C111:M111)/'Direct Recycling LFP_CAM'!$AP$13</f>
        <v>2.0603031321642402</v>
      </c>
      <c r="E24" s="25"/>
      <c r="G24" s="23">
        <f>'Direct Recycling LFP_CAM'!C111/'Impact assesment'!$D24</f>
        <v>5.5055363566888482E-5</v>
      </c>
      <c r="H24" s="23">
        <f>'Direct Recycling LFP_CAM'!D111/'Impact assesment'!$D24</f>
        <v>0.93580694494122896</v>
      </c>
      <c r="I24" s="23">
        <f>'Direct Recycling LFP_CAM'!E111/'Impact assesment'!$D24</f>
        <v>4.919847344838998E-4</v>
      </c>
      <c r="J24" s="23">
        <f>'Direct Recycling LFP_CAM'!F111/'Impact assesment'!$D24</f>
        <v>9.8561361508605326E-5</v>
      </c>
      <c r="K24" s="23">
        <f>'Direct Recycling LFP_CAM'!G111/'Impact assesment'!$D24</f>
        <v>9.1561171538448222E-4</v>
      </c>
      <c r="L24" s="23">
        <f>'Direct Recycling LFP_CAM'!H111/'Impact assesment'!$D24</f>
        <v>1.7231247896309121E-4</v>
      </c>
      <c r="M24" s="23">
        <f>'Direct Recycling LFP_CAM'!I111/'Impact assesment'!$D24</f>
        <v>2.1034980237891987E-4</v>
      </c>
      <c r="N24" s="23">
        <f>'Direct Recycling LFP_CAM'!J111/'Impact assesment'!$D24</f>
        <v>4.3229282921258149E-4</v>
      </c>
      <c r="O24" s="23">
        <f>'Direct Recycling LFP_CAM'!K111/'Impact assesment'!$D24</f>
        <v>1.354534046803157E-3</v>
      </c>
      <c r="P24" s="23">
        <f>'Direct Recycling LFP_CAM'!L111/'Impact assesment'!$D24</f>
        <v>0</v>
      </c>
      <c r="Q24" s="23">
        <f>'Direct Recycling LFP_CAM'!M111/'Impact assesment'!$D24</f>
        <v>1.3195708126722638E-3</v>
      </c>
      <c r="R24" s="25">
        <f t="shared" si="0"/>
        <v>0.94085721808620282</v>
      </c>
    </row>
    <row r="25" spans="2:18" x14ac:dyDescent="0.25">
      <c r="B25" t="s">
        <v>196</v>
      </c>
      <c r="C25" t="s">
        <v>197</v>
      </c>
      <c r="D25" s="28">
        <f>SUM('Direct Recycling LFP_CAM'!C112:M112)/'Direct Recycling LFP_CAM'!$AP$13</f>
        <v>11.68386274274353</v>
      </c>
      <c r="E25" s="25"/>
      <c r="G25" s="23">
        <f>'Direct Recycling LFP_CAM'!C112/'Impact assesment'!$D25</f>
        <v>3.7039792299738172E-4</v>
      </c>
      <c r="H25" s="23">
        <f>'Direct Recycling LFP_CAM'!D112/'Impact assesment'!$D25</f>
        <v>0.75883351624836914</v>
      </c>
      <c r="I25" s="23">
        <f>'Direct Recycling LFP_CAM'!E112/'Impact assesment'!$D25</f>
        <v>4.5368063590874178E-3</v>
      </c>
      <c r="J25" s="23">
        <f>'Direct Recycling LFP_CAM'!F112/'Impact assesment'!$D25</f>
        <v>7.5628002386560417E-3</v>
      </c>
      <c r="K25" s="23">
        <f>'Direct Recycling LFP_CAM'!G112/'Impact assesment'!$D25</f>
        <v>4.5646310560136044E-2</v>
      </c>
      <c r="L25" s="23">
        <f>'Direct Recycling LFP_CAM'!H112/'Impact assesment'!$D25</f>
        <v>8.5903541817759829E-3</v>
      </c>
      <c r="M25" s="23">
        <f>'Direct Recycling LFP_CAM'!I112/'Impact assesment'!$D25</f>
        <v>1.048664214788852E-2</v>
      </c>
      <c r="N25" s="23">
        <f>'Direct Recycling LFP_CAM'!J112/'Impact assesment'!$D25</f>
        <v>3.5904710885187707E-2</v>
      </c>
      <c r="O25" s="23">
        <f>'Direct Recycling LFP_CAM'!K112/'Impact assesment'!$D25</f>
        <v>1.2024730912913575E-2</v>
      </c>
      <c r="P25" s="23">
        <f>'Direct Recycling LFP_CAM'!L112/'Impact assesment'!$D25</f>
        <v>0</v>
      </c>
      <c r="Q25" s="23">
        <f>'Direct Recycling LFP_CAM'!M112/'Impact assesment'!$D25</f>
        <v>5.6900948629191005E-2</v>
      </c>
      <c r="R25" s="25">
        <f t="shared" si="0"/>
        <v>0.94085721808620282</v>
      </c>
    </row>
    <row r="26" spans="2:18" x14ac:dyDescent="0.25">
      <c r="B26" t="s">
        <v>198</v>
      </c>
      <c r="C26" t="s">
        <v>199</v>
      </c>
      <c r="D26" s="28">
        <f>SUM('Direct Recycling LFP_CAM'!C113:M113)/'Direct Recycling LFP_CAM'!$AP$13</f>
        <v>6.5645583089748508E-6</v>
      </c>
      <c r="E26" s="25"/>
      <c r="G26" s="23">
        <f>'Direct Recycling LFP_CAM'!C113/'Impact assesment'!$D26</f>
        <v>3.2705884344740033E-3</v>
      </c>
      <c r="H26" s="23">
        <f>'Direct Recycling LFP_CAM'!D113/'Impact assesment'!$D26</f>
        <v>0.63143681327023837</v>
      </c>
      <c r="I26" s="23">
        <f>'Direct Recycling LFP_CAM'!E113/'Impact assesment'!$D26</f>
        <v>2.1736883081681573E-2</v>
      </c>
      <c r="J26" s="23">
        <f>'Direct Recycling LFP_CAM'!F113/'Impact assesment'!$D26</f>
        <v>4.9690234366091528E-3</v>
      </c>
      <c r="K26" s="23">
        <f>'Direct Recycling LFP_CAM'!G113/'Impact assesment'!$D26</f>
        <v>9.8321338479651667E-3</v>
      </c>
      <c r="L26" s="23">
        <f>'Direct Recycling LFP_CAM'!H113/'Impact assesment'!$D26</f>
        <v>1.8503469629900585E-3</v>
      </c>
      <c r="M26" s="23">
        <f>'Direct Recycling LFP_CAM'!I113/'Impact assesment'!$D26</f>
        <v>2.2588040073450695E-3</v>
      </c>
      <c r="N26" s="23">
        <f>'Direct Recycling LFP_CAM'!J113/'Impact assesment'!$D26</f>
        <v>6.8813036860549074E-3</v>
      </c>
      <c r="O26" s="23">
        <f>'Direct Recycling LFP_CAM'!K113/'Impact assesment'!$D26</f>
        <v>5.8092638325863519E-2</v>
      </c>
      <c r="P26" s="23">
        <f>'Direct Recycling LFP_CAM'!L113/'Impact assesment'!$D26</f>
        <v>0</v>
      </c>
      <c r="Q26" s="23">
        <f>'Direct Recycling LFP_CAM'!M113/'Impact assesment'!$D26</f>
        <v>0.20052868303298127</v>
      </c>
      <c r="R26" s="25">
        <f t="shared" si="0"/>
        <v>0.94085721808620293</v>
      </c>
    </row>
    <row r="27" spans="2:18" x14ac:dyDescent="0.25">
      <c r="B27" t="s">
        <v>200</v>
      </c>
      <c r="C27" t="s">
        <v>69</v>
      </c>
      <c r="D27" s="28">
        <f>SUM('Direct Recycling LFP_CAM'!C114:M114)/'Direct Recycling LFP_CAM'!$AP$13</f>
        <v>1.7448469816012227E-7</v>
      </c>
      <c r="E27" s="25"/>
      <c r="G27" s="23">
        <f>'Direct Recycling LFP_CAM'!C114/'Impact assesment'!$D27</f>
        <v>3.1852372009833784E-3</v>
      </c>
      <c r="H27" s="23">
        <f>'Direct Recycling LFP_CAM'!D114/'Impact assesment'!$D27</f>
        <v>0.84642334011103171</v>
      </c>
      <c r="I27" s="23">
        <f>'Direct Recycling LFP_CAM'!E114/'Impact assesment'!$D27</f>
        <v>2.1076518286559775E-2</v>
      </c>
      <c r="J27" s="23">
        <f>'Direct Recycling LFP_CAM'!F114/'Impact assesment'!$D27</f>
        <v>2.4089868647050724E-3</v>
      </c>
      <c r="K27" s="23">
        <f>'Direct Recycling LFP_CAM'!G114/'Impact assesment'!$D27</f>
        <v>1.9920525184222403E-3</v>
      </c>
      <c r="L27" s="23">
        <f>'Direct Recycling LFP_CAM'!H114/'Impact assesment'!$D27</f>
        <v>3.7489200051341173E-4</v>
      </c>
      <c r="M27" s="23">
        <f>'Direct Recycling LFP_CAM'!I114/'Impact assesment'!$D27</f>
        <v>4.5764798171306755E-4</v>
      </c>
      <c r="N27" s="23">
        <f>'Direct Recycling LFP_CAM'!J114/'Impact assesment'!$D27</f>
        <v>1.4246851035019867E-3</v>
      </c>
      <c r="O27" s="23">
        <f>'Direct Recycling LFP_CAM'!K114/'Impact assesment'!$D27</f>
        <v>5.9023159932641518E-2</v>
      </c>
      <c r="P27" s="23">
        <f>'Direct Recycling LFP_CAM'!L114/'Impact assesment'!$D27</f>
        <v>0</v>
      </c>
      <c r="Q27" s="23">
        <f>'Direct Recycling LFP_CAM'!M114/'Impact assesment'!$D27</f>
        <v>4.4906980861307766E-3</v>
      </c>
      <c r="R27" s="25">
        <f t="shared" si="0"/>
        <v>0.94085721808620304</v>
      </c>
    </row>
    <row r="28" spans="2:18" x14ac:dyDescent="0.25">
      <c r="B28" t="s">
        <v>201</v>
      </c>
      <c r="C28" t="s">
        <v>202</v>
      </c>
      <c r="D28" s="28">
        <f>SUM('Direct Recycling LFP_CAM'!C115:M115)/'Direct Recycling LFP_CAM'!$AP$13</f>
        <v>5.4142561788424831E-8</v>
      </c>
      <c r="E28" s="25"/>
      <c r="G28" s="23">
        <f>'Direct Recycling LFP_CAM'!C115/'Impact assesment'!$D28</f>
        <v>1.7269810392398172E-3</v>
      </c>
      <c r="H28" s="23">
        <f>'Direct Recycling LFP_CAM'!D115/'Impact assesment'!$D28</f>
        <v>0.60327289504021175</v>
      </c>
      <c r="I28" s="23">
        <f>'Direct Recycling LFP_CAM'!E115/'Impact assesment'!$D28</f>
        <v>3.0442623769889661E-2</v>
      </c>
      <c r="J28" s="23">
        <f>'Direct Recycling LFP_CAM'!F115/'Impact assesment'!$D28</f>
        <v>5.1160169242142534E-2</v>
      </c>
      <c r="K28" s="23">
        <f>'Direct Recycling LFP_CAM'!G115/'Impact assesment'!$D28</f>
        <v>5.5280998539455978E-2</v>
      </c>
      <c r="L28" s="23">
        <f>'Direct Recycling LFP_CAM'!H115/'Impact assesment'!$D28</f>
        <v>1.0403543049783614E-2</v>
      </c>
      <c r="M28" s="23">
        <f>'Direct Recycling LFP_CAM'!I115/'Impact assesment'!$D28</f>
        <v>1.2700085552314022E-2</v>
      </c>
      <c r="N28" s="23">
        <f>'Direct Recycling LFP_CAM'!J115/'Impact assesment'!$D28</f>
        <v>2.9028405603292094E-2</v>
      </c>
      <c r="O28" s="23">
        <f>'Direct Recycling LFP_CAM'!K115/'Impact assesment'!$D28</f>
        <v>4.4181694673848679E-2</v>
      </c>
      <c r="P28" s="23">
        <f>'Direct Recycling LFP_CAM'!L115/'Impact assesment'!$D28</f>
        <v>0</v>
      </c>
      <c r="Q28" s="23">
        <f>'Direct Recycling LFP_CAM'!M115/'Impact assesment'!$D28</f>
        <v>0.10265982157602502</v>
      </c>
      <c r="R28" s="25">
        <f t="shared" si="0"/>
        <v>0.94085721808620337</v>
      </c>
    </row>
    <row r="29" spans="2:18" x14ac:dyDescent="0.25">
      <c r="B29" t="s">
        <v>203</v>
      </c>
      <c r="C29" t="s">
        <v>204</v>
      </c>
      <c r="D29" s="28">
        <f>SUM('Direct Recycling LFP_CAM'!C116:M116)/'Direct Recycling LFP_CAM'!$AP$13</f>
        <v>7.2847544248358913E-3</v>
      </c>
      <c r="G29" s="23">
        <f>'Direct Recycling LFP_CAM'!C116/'Impact assesment'!$D29</f>
        <v>5.1080381517333107E-4</v>
      </c>
      <c r="H29" s="23">
        <f>'Direct Recycling LFP_CAM'!D116/'Impact assesment'!$D29</f>
        <v>0.77637257267280713</v>
      </c>
      <c r="I29" s="23">
        <f>'Direct Recycling LFP_CAM'!E116/'Impact assesment'!$D29</f>
        <v>1.4653905810032043E-2</v>
      </c>
      <c r="J29" s="23">
        <f>'Direct Recycling LFP_CAM'!F116/'Impact assesment'!$D29</f>
        <v>1.8017053976969177E-2</v>
      </c>
      <c r="K29" s="23">
        <f>'Direct Recycling LFP_CAM'!G116/'Impact assesment'!$D29</f>
        <v>2.4230317983881117E-2</v>
      </c>
      <c r="L29" s="23">
        <f>'Direct Recycling LFP_CAM'!H116/'Impact assesment'!$D29</f>
        <v>4.5599964348569822E-3</v>
      </c>
      <c r="M29" s="23">
        <f>'Direct Recycling LFP_CAM'!I116/'Impact assesment'!$D29</f>
        <v>5.5665982794328083E-3</v>
      </c>
      <c r="N29" s="23">
        <f>'Direct Recycling LFP_CAM'!J116/'Impact assesment'!$D29</f>
        <v>3.5593767247156682E-2</v>
      </c>
      <c r="O29" s="23">
        <f>'Direct Recycling LFP_CAM'!K116/'Impact assesment'!$D29</f>
        <v>2.7381143535943665E-2</v>
      </c>
      <c r="P29" s="23">
        <f>'Direct Recycling LFP_CAM'!L116/'Impact assesment'!$D29</f>
        <v>0</v>
      </c>
      <c r="Q29" s="23">
        <f>'Direct Recycling LFP_CAM'!M116/'Impact assesment'!$D29</f>
        <v>3.3971058329950135E-2</v>
      </c>
      <c r="R29" s="25">
        <f t="shared" si="0"/>
        <v>0.94085721808620304</v>
      </c>
    </row>
    <row r="30" spans="2:18" x14ac:dyDescent="0.25">
      <c r="B30" t="s">
        <v>205</v>
      </c>
      <c r="C30" t="s">
        <v>206</v>
      </c>
      <c r="D30" s="28">
        <f>SUM('Direct Recycling LFP_CAM'!C117:M117)/'Direct Recycling LFP_CAM'!$AP$13</f>
        <v>0.58329954598600031</v>
      </c>
      <c r="G30" s="23">
        <f>'Direct Recycling LFP_CAM'!C117/'Impact assesment'!$D30</f>
        <v>4.2812509609002495E-3</v>
      </c>
      <c r="H30" s="23">
        <f>'Direct Recycling LFP_CAM'!D117/'Impact assesment'!$D30</f>
        <v>0.77128301825139323</v>
      </c>
      <c r="I30" s="23">
        <f>'Direct Recycling LFP_CAM'!E117/'Impact assesment'!$D30</f>
        <v>1.7788775299004529E-2</v>
      </c>
      <c r="J30" s="23">
        <f>'Direct Recycling LFP_CAM'!F117/'Impact assesment'!$D30</f>
        <v>2.341727119285501E-2</v>
      </c>
      <c r="K30" s="23">
        <f>'Direct Recycling LFP_CAM'!G117/'Impact assesment'!$D30</f>
        <v>9.1974432197645378E-3</v>
      </c>
      <c r="L30" s="23">
        <f>'Direct Recycling LFP_CAM'!H117/'Impact assesment'!$D30</f>
        <v>1.7309021004109821E-3</v>
      </c>
      <c r="M30" s="23">
        <f>'Direct Recycling LFP_CAM'!I117/'Impact assesment'!$D30</f>
        <v>2.1129921463012287E-3</v>
      </c>
      <c r="N30" s="23">
        <f>'Direct Recycling LFP_CAM'!J117/'Impact assesment'!$D30</f>
        <v>3.817309975762892E-3</v>
      </c>
      <c r="O30" s="23">
        <f>'Direct Recycling LFP_CAM'!K117/'Impact assesment'!$D30</f>
        <v>3.8682758794589593E-2</v>
      </c>
      <c r="P30" s="23">
        <f>'Direct Recycling LFP_CAM'!L117/'Impact assesment'!$D30</f>
        <v>0</v>
      </c>
      <c r="Q30" s="23">
        <f>'Direct Recycling LFP_CAM'!M117/'Impact assesment'!$D30</f>
        <v>6.8545496145220597E-2</v>
      </c>
      <c r="R30" s="25">
        <f t="shared" si="0"/>
        <v>0.94085721808620293</v>
      </c>
    </row>
    <row r="34" spans="1:3" ht="20.25" thickBot="1" x14ac:dyDescent="0.35">
      <c r="A34" s="2" t="s">
        <v>38</v>
      </c>
      <c r="B34" s="2"/>
    </row>
    <row r="35" spans="1:3" ht="16.5" thickTop="1" x14ac:dyDescent="0.25"/>
    <row r="36" spans="1:3" x14ac:dyDescent="0.25">
      <c r="A36" s="1" t="s">
        <v>94</v>
      </c>
      <c r="B36" s="1">
        <f>'Direct Recycling LFP_CAM'!AA6</f>
        <v>3.7079490364481673</v>
      </c>
      <c r="C36" s="23">
        <f>B36/SUM($B$36:$B$38)</f>
        <v>0.55607568734625479</v>
      </c>
    </row>
    <row r="37" spans="1:3" x14ac:dyDescent="0.25">
      <c r="A37" s="1" t="s">
        <v>95</v>
      </c>
      <c r="B37" s="1">
        <f>'Direct Recycling LFP_CAM'!AG6</f>
        <v>2.8601335050360333</v>
      </c>
      <c r="C37" s="23">
        <f>B37/SUM($B$36:$B$38)</f>
        <v>0.42893003357954801</v>
      </c>
    </row>
    <row r="38" spans="1:3" x14ac:dyDescent="0.25">
      <c r="A38" s="1" t="s">
        <v>96</v>
      </c>
      <c r="B38" s="1">
        <f>'Direct Recycling LFP_CAM'!AN7</f>
        <v>9.9982833111682115E-2</v>
      </c>
      <c r="C38" s="23">
        <f>B38/SUM($B$36:$B$38)</f>
        <v>1.4994279074197224E-2</v>
      </c>
    </row>
  </sheetData>
  <conditionalFormatting sqref="E6:E2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{6B91070A-6AC2-A649-8EFA-140B504DA19E}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B91070A-6AC2-A649-8EFA-140B504DA1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E6:E28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0D324-7DA9-7047-84D9-D864E8B2EA29}">
  <dimension ref="A1:F41"/>
  <sheetViews>
    <sheetView zoomScale="75" zoomScaleNormal="75" workbookViewId="0">
      <selection activeCell="H61" sqref="H61"/>
    </sheetView>
  </sheetViews>
  <sheetFormatPr defaultColWidth="10.875" defaultRowHeight="15.75" x14ac:dyDescent="0.25"/>
  <cols>
    <col min="1" max="1" width="27.125" style="1" customWidth="1"/>
    <col min="2" max="2" width="20.125" style="1" customWidth="1"/>
    <col min="3" max="3" width="82.375" style="1" customWidth="1"/>
    <col min="4" max="4" width="75.875" style="1" customWidth="1"/>
    <col min="5" max="5" width="53.375" style="1" customWidth="1"/>
    <col min="6" max="6" width="41.125" style="1" customWidth="1"/>
    <col min="7" max="16384" width="10.875" style="1"/>
  </cols>
  <sheetData>
    <row r="1" spans="1:6" ht="20.25" thickBot="1" x14ac:dyDescent="0.35">
      <c r="A1" s="2" t="s">
        <v>97</v>
      </c>
      <c r="B1" s="2"/>
      <c r="C1" s="2"/>
      <c r="D1" s="2"/>
    </row>
    <row r="2" spans="1:6" ht="16.5" thickTop="1" x14ac:dyDescent="0.25"/>
    <row r="3" spans="1:6" x14ac:dyDescent="0.25">
      <c r="A3" s="47" t="s">
        <v>57</v>
      </c>
      <c r="B3" s="47" t="s">
        <v>58</v>
      </c>
      <c r="C3" s="43" t="s">
        <v>98</v>
      </c>
      <c r="D3" s="44"/>
      <c r="E3" s="45" t="s">
        <v>99</v>
      </c>
      <c r="F3" s="46"/>
    </row>
    <row r="4" spans="1:6" x14ac:dyDescent="0.25">
      <c r="A4" s="47"/>
      <c r="B4" s="47"/>
      <c r="C4" s="21" t="s">
        <v>100</v>
      </c>
      <c r="D4" s="21" t="s">
        <v>101</v>
      </c>
      <c r="E4" s="22" t="s">
        <v>102</v>
      </c>
      <c r="F4" s="22" t="s">
        <v>103</v>
      </c>
    </row>
    <row r="5" spans="1:6" x14ac:dyDescent="0.25">
      <c r="A5" s="47"/>
      <c r="B5" s="47"/>
      <c r="C5" s="48" t="s">
        <v>104</v>
      </c>
      <c r="D5" s="49"/>
      <c r="E5" s="49"/>
      <c r="F5" s="49"/>
    </row>
    <row r="6" spans="1:6" x14ac:dyDescent="0.25">
      <c r="A6" t="s">
        <v>172</v>
      </c>
      <c r="B6" t="s">
        <v>173</v>
      </c>
      <c r="C6" s="33">
        <f>[12]Impacts!E3</f>
        <v>6.6761140076208772E-2</v>
      </c>
      <c r="D6" s="33">
        <f>[13]Impacts!E3</f>
        <v>0.69556859200583709</v>
      </c>
      <c r="E6" s="34">
        <f>'Impact assesment'!D6</f>
        <v>7.8660271911286297E-3</v>
      </c>
      <c r="F6" s="34">
        <f>'Direct Recycling LFP_full recov'!D151</f>
        <v>6.9079936335330215E-3</v>
      </c>
    </row>
    <row r="7" spans="1:6" x14ac:dyDescent="0.25">
      <c r="A7" t="s">
        <v>65</v>
      </c>
      <c r="B7" t="s">
        <v>66</v>
      </c>
      <c r="C7" s="33">
        <f>[12]Impacts!E4</f>
        <v>7.5676276059335299</v>
      </c>
      <c r="D7" s="33">
        <f>[13]Impacts!E4</f>
        <v>4.9551203879032162</v>
      </c>
      <c r="E7" s="34">
        <f>'Impact assesment'!D7</f>
        <v>4.3320784190202497</v>
      </c>
      <c r="F7" s="34">
        <f>'Direct Recycling LFP_full recov'!D152</f>
        <v>3.4154836740275467</v>
      </c>
    </row>
    <row r="8" spans="1:6" x14ac:dyDescent="0.25">
      <c r="A8" t="s">
        <v>174</v>
      </c>
      <c r="B8" t="s">
        <v>66</v>
      </c>
      <c r="C8" s="33">
        <f>[12]Impacts!E5</f>
        <v>1.7403479632592145E-2</v>
      </c>
      <c r="D8" s="33">
        <f>[13]Impacts!E5</f>
        <v>8.2775415413691416E-3</v>
      </c>
      <c r="E8" s="34">
        <f>'Impact assesment'!D8</f>
        <v>0.41638289512274362</v>
      </c>
      <c r="F8" s="34">
        <f>'Direct Recycling LFP_full recov'!D153</f>
        <v>6.7643250961800299E-4</v>
      </c>
    </row>
    <row r="9" spans="1:6" x14ac:dyDescent="0.25">
      <c r="A9" t="s">
        <v>175</v>
      </c>
      <c r="B9" t="s">
        <v>66</v>
      </c>
      <c r="C9" s="33">
        <f>[12]Impacts!E6</f>
        <v>7.5416866076684528</v>
      </c>
      <c r="D9" s="33">
        <f>[13]Impacts!E6</f>
        <v>4.9393887925507238</v>
      </c>
      <c r="E9" s="34">
        <f>'Impact assesment'!D9</f>
        <v>3.9151724548878435</v>
      </c>
      <c r="F9" s="34">
        <f>'Direct Recycling LFP_full recov'!D154</f>
        <v>3.4144105456204876</v>
      </c>
    </row>
    <row r="10" spans="1:6" x14ac:dyDescent="0.25">
      <c r="A10" t="s">
        <v>176</v>
      </c>
      <c r="B10" t="s">
        <v>66</v>
      </c>
      <c r="C10" s="33">
        <f>[12]Impacts!E7</f>
        <v>8.5375186324849629E-3</v>
      </c>
      <c r="D10" s="33">
        <f>[13]Impacts!E7</f>
        <v>7.4540538111227267E-3</v>
      </c>
      <c r="E10" s="34">
        <f>'Impact assesment'!D10</f>
        <v>5.2306900966353845E-4</v>
      </c>
      <c r="F10" s="34">
        <f>'Direct Recycling LFP_full recov'!D155</f>
        <v>3.9669589744145033E-4</v>
      </c>
    </row>
    <row r="11" spans="1:6" x14ac:dyDescent="0.25">
      <c r="A11" t="s">
        <v>177</v>
      </c>
      <c r="B11" t="s">
        <v>178</v>
      </c>
      <c r="C11" s="33">
        <f>[12]Impacts!E8</f>
        <v>120.55990036821608</v>
      </c>
      <c r="D11" s="33">
        <f>[13]Impacts!E8</f>
        <v>86.292464287529398</v>
      </c>
      <c r="E11" s="34">
        <f>'Impact assesment'!D11</f>
        <v>22.485499435731359</v>
      </c>
      <c r="F11" s="34">
        <f>'Direct Recycling LFP_full recov'!D156</f>
        <v>7.9226472895076965</v>
      </c>
    </row>
    <row r="12" spans="1:6" x14ac:dyDescent="0.25">
      <c r="A12" t="s">
        <v>179</v>
      </c>
      <c r="B12" t="s">
        <v>178</v>
      </c>
      <c r="C12" s="33">
        <f>[12]Impacts!E9</f>
        <v>118.42571239987841</v>
      </c>
      <c r="D12" s="33">
        <f>[13]Impacts!E9</f>
        <v>84.932364080039306</v>
      </c>
      <c r="E12" s="34">
        <f>'Impact assesment'!D12</f>
        <v>21.502845136807306</v>
      </c>
      <c r="F12" s="34">
        <f>'Direct Recycling LFP_full recov'!D157</f>
        <v>7.0051747694815152</v>
      </c>
    </row>
    <row r="13" spans="1:6" x14ac:dyDescent="0.25">
      <c r="A13" t="s">
        <v>180</v>
      </c>
      <c r="B13" t="s">
        <v>178</v>
      </c>
      <c r="C13" s="33">
        <f>[12]Impacts!E10</f>
        <v>2.1341879683376392</v>
      </c>
      <c r="D13" s="33">
        <f>[13]Impacts!E10</f>
        <v>1.3601002074901196</v>
      </c>
      <c r="E13" s="34">
        <f>'Impact assesment'!D13</f>
        <v>0.98265429892407075</v>
      </c>
      <c r="F13" s="34">
        <f>'Direct Recycling LFP_full recov'!D158</f>
        <v>0.91747252002618584</v>
      </c>
    </row>
    <row r="14" spans="1:6" x14ac:dyDescent="0.25">
      <c r="A14" t="s">
        <v>181</v>
      </c>
      <c r="B14" t="s">
        <v>182</v>
      </c>
      <c r="C14" s="33">
        <f>[12]Impacts!E11</f>
        <v>89.490681375672807</v>
      </c>
      <c r="D14" s="33">
        <f>[13]Impacts!E11</f>
        <v>52.558771485241664</v>
      </c>
      <c r="E14" s="34">
        <f>'Impact assesment'!D14</f>
        <v>73.082755049964348</v>
      </c>
      <c r="F14" s="34">
        <f>'Direct Recycling LFP_full recov'!D159</f>
        <v>69.995954203439098</v>
      </c>
    </row>
    <row r="15" spans="1:6" x14ac:dyDescent="0.25">
      <c r="A15" t="s">
        <v>183</v>
      </c>
      <c r="B15" t="s">
        <v>67</v>
      </c>
      <c r="C15" s="33">
        <f>[12]Impacts!E12</f>
        <v>4.2825839604744998E-3</v>
      </c>
      <c r="D15" s="33">
        <f>[13]Impacts!E12</f>
        <v>2.212206126596776E-3</v>
      </c>
      <c r="E15" s="34">
        <f>'Impact assesment'!D15</f>
        <v>7.4934670025277776E-4</v>
      </c>
      <c r="F15" s="34">
        <f>'Direct Recycling LFP_full recov'!D160</f>
        <v>6.5745966583458484E-4</v>
      </c>
    </row>
    <row r="16" spans="1:6" x14ac:dyDescent="0.25">
      <c r="A16" t="s">
        <v>184</v>
      </c>
      <c r="B16" t="s">
        <v>68</v>
      </c>
      <c r="C16" s="33">
        <f>[12]Impacts!E13</f>
        <v>2.1086987878596791E-2</v>
      </c>
      <c r="D16" s="33">
        <f>[13]Impacts!E13</f>
        <v>3.0354461376226018E-2</v>
      </c>
      <c r="E16" s="34">
        <f>'Impact assesment'!D16</f>
        <v>3.7301323376861505E-3</v>
      </c>
      <c r="F16" s="34">
        <f>'Direct Recycling LFP_full recov'!D161</f>
        <v>2.0476995977953567E-3</v>
      </c>
    </row>
    <row r="17" spans="1:6" x14ac:dyDescent="0.25">
      <c r="A17" t="s">
        <v>185</v>
      </c>
      <c r="B17" t="s">
        <v>186</v>
      </c>
      <c r="C17" s="33">
        <f>[12]Impacts!E14</f>
        <v>0.10846933483487085</v>
      </c>
      <c r="D17" s="33">
        <f>[13]Impacts!E14</f>
        <v>2.9755031732617856</v>
      </c>
      <c r="E17" s="34">
        <f>'Impact assesment'!D17</f>
        <v>2.2092914711193623E-2</v>
      </c>
      <c r="F17" s="34">
        <f>'Direct Recycling LFP_full recov'!D162</f>
        <v>1.9329228951983194E-2</v>
      </c>
    </row>
    <row r="18" spans="1:6" x14ac:dyDescent="0.25">
      <c r="A18" t="s">
        <v>187</v>
      </c>
      <c r="B18" t="s">
        <v>188</v>
      </c>
      <c r="C18" s="35">
        <f>[12]Impacts!E15</f>
        <v>6.6478160051567666E-9</v>
      </c>
      <c r="D18" s="35">
        <f>[13]Impacts!E15</f>
        <v>5.3202323766448651E-9</v>
      </c>
      <c r="E18" s="32">
        <f>'Impact assesment'!D18</f>
        <v>8.1177139134876748E-10</v>
      </c>
      <c r="F18" s="32">
        <f>'Direct Recycling LFP_full recov'!D163</f>
        <v>6.2122936948222683E-10</v>
      </c>
    </row>
    <row r="19" spans="1:6" x14ac:dyDescent="0.25">
      <c r="A19" t="s">
        <v>189</v>
      </c>
      <c r="B19" t="s">
        <v>188</v>
      </c>
      <c r="C19" s="35">
        <f>[12]Impacts!E16</f>
        <v>5.461171204542512E-9</v>
      </c>
      <c r="D19" s="35">
        <f>[13]Impacts!E16</f>
        <v>2.4767438869403731E-9</v>
      </c>
      <c r="E19" s="32">
        <f>'Impact assesment'!D19</f>
        <v>4.6010931442844692E-10</v>
      </c>
      <c r="F19" s="32">
        <f>'Direct Recycling LFP_full recov'!D164</f>
        <v>3.4192911098240275E-10</v>
      </c>
    </row>
    <row r="20" spans="1:6" x14ac:dyDescent="0.25">
      <c r="A20" t="s">
        <v>190</v>
      </c>
      <c r="B20" t="s">
        <v>188</v>
      </c>
      <c r="C20" s="35">
        <f>[12]Impacts!E17</f>
        <v>1.1866448006142565E-9</v>
      </c>
      <c r="D20" s="35">
        <f>[13]Impacts!E17</f>
        <v>2.8434884897044949E-9</v>
      </c>
      <c r="E20" s="32">
        <f>'Impact assesment'!D20</f>
        <v>3.5166207692032072E-10</v>
      </c>
      <c r="F20" s="32">
        <f>'Direct Recycling LFP_full recov'!D165</f>
        <v>2.7930025849982418E-10</v>
      </c>
    </row>
    <row r="21" spans="1:6" x14ac:dyDescent="0.25">
      <c r="A21" t="s">
        <v>191</v>
      </c>
      <c r="B21" t="s">
        <v>188</v>
      </c>
      <c r="C21" s="35">
        <f>[12]Impacts!E18</f>
        <v>2.2226768596919941E-7</v>
      </c>
      <c r="D21" s="35">
        <f>[13]Impacts!E18</f>
        <v>1.5207260757816742E-7</v>
      </c>
      <c r="E21" s="32">
        <f>'Impact assesment'!D21</f>
        <v>1.7126690647063836E-8</v>
      </c>
      <c r="F21" s="32">
        <f>'Direct Recycling LFP_full recov'!D166</f>
        <v>1.3141900148546349E-8</v>
      </c>
    </row>
    <row r="22" spans="1:6" x14ac:dyDescent="0.25">
      <c r="A22" t="s">
        <v>192</v>
      </c>
      <c r="B22" t="s">
        <v>188</v>
      </c>
      <c r="C22" s="35">
        <f>[12]Impacts!E19</f>
        <v>2.1387640134039525E-7</v>
      </c>
      <c r="D22" s="35">
        <f>[13]Impacts!E19</f>
        <v>1.4574167530731435E-7</v>
      </c>
      <c r="E22" s="32">
        <f>'Impact assesment'!D22</f>
        <v>1.5775138493710655E-8</v>
      </c>
      <c r="F22" s="32">
        <f>'Direct Recycling LFP_full recov'!D167</f>
        <v>1.2624433241006357E-8</v>
      </c>
    </row>
    <row r="23" spans="1:6" x14ac:dyDescent="0.25">
      <c r="A23" t="s">
        <v>193</v>
      </c>
      <c r="B23" t="s">
        <v>188</v>
      </c>
      <c r="C23" s="35">
        <f>[12]Impacts!E20</f>
        <v>8.3912846288043581E-9</v>
      </c>
      <c r="D23" s="35">
        <f>[13]Impacts!E20</f>
        <v>6.3309322708530393E-9</v>
      </c>
      <c r="E23" s="32">
        <f>'Impact assesment'!D23</f>
        <v>1.3515521533531911E-9</v>
      </c>
      <c r="F23" s="32">
        <f>'Direct Recycling LFP_full recov'!D168</f>
        <v>5.1746690753999997E-10</v>
      </c>
    </row>
    <row r="24" spans="1:6" x14ac:dyDescent="0.25">
      <c r="A24" t="s">
        <v>194</v>
      </c>
      <c r="B24" t="s">
        <v>195</v>
      </c>
      <c r="C24" s="33">
        <f>[12]Impacts!E21</f>
        <v>0.31942899240802053</v>
      </c>
      <c r="D24" s="33">
        <f>[13]Impacts!E21</f>
        <v>0.23937809580369748</v>
      </c>
      <c r="E24" s="34">
        <f>'Impact assesment'!D24</f>
        <v>2.0603031321642402</v>
      </c>
      <c r="F24" s="34">
        <f>'Direct Recycling LFP_full recov'!D169</f>
        <v>2.01447418207559</v>
      </c>
    </row>
    <row r="25" spans="1:6" x14ac:dyDescent="0.25">
      <c r="A25" t="s">
        <v>196</v>
      </c>
      <c r="B25" t="s">
        <v>197</v>
      </c>
      <c r="C25" s="33">
        <f>[12]Impacts!E22</f>
        <v>55.983731225193388</v>
      </c>
      <c r="D25" s="33">
        <f>[13]Impacts!E22</f>
        <v>56.104088231571978</v>
      </c>
      <c r="E25" s="34">
        <f>'Impact assesment'!D25</f>
        <v>11.68386274274353</v>
      </c>
      <c r="F25" s="34">
        <f>'Direct Recycling LFP_full recov'!D170</f>
        <v>9.803068133817975</v>
      </c>
    </row>
    <row r="26" spans="1:6" x14ac:dyDescent="0.25">
      <c r="A26" t="s">
        <v>198</v>
      </c>
      <c r="B26" t="s">
        <v>199</v>
      </c>
      <c r="C26" s="35">
        <f>[12]Impacts!E23</f>
        <v>1.8737984921359958E-4</v>
      </c>
      <c r="D26" s="35">
        <f>[13]Impacts!E23</f>
        <v>1.4416120193658379E-4</v>
      </c>
      <c r="E26" s="32">
        <f>'Impact assesment'!D26</f>
        <v>6.5645583089748508E-6</v>
      </c>
      <c r="F26" s="32">
        <f>'Direct Recycling LFP_full recov'!D171</f>
        <v>5.4401258118970116E-6</v>
      </c>
    </row>
    <row r="27" spans="1:6" x14ac:dyDescent="0.25">
      <c r="A27" t="s">
        <v>200</v>
      </c>
      <c r="B27" t="s">
        <v>69</v>
      </c>
      <c r="C27" s="33">
        <f>[12]Impacts!E24</f>
        <v>2.7800041041247628E-7</v>
      </c>
      <c r="D27" s="33">
        <f>[13]Impacts!E24</f>
        <v>2.414621147941686E-7</v>
      </c>
      <c r="E27" s="34">
        <f>'Impact assesment'!D27</f>
        <v>1.7448469816012227E-7</v>
      </c>
      <c r="F27" s="34">
        <f>'Direct Recycling LFP_full recov'!D172</f>
        <v>1.6346005963159468E-7</v>
      </c>
    </row>
    <row r="28" spans="1:6" x14ac:dyDescent="0.25">
      <c r="A28" t="s">
        <v>201</v>
      </c>
      <c r="B28" t="s">
        <v>202</v>
      </c>
      <c r="C28" s="33">
        <f>[12]Impacts!E25</f>
        <v>5.2260128652054334E-7</v>
      </c>
      <c r="D28" s="33">
        <f>[13]Impacts!E25</f>
        <v>4.9637278717540436E-6</v>
      </c>
      <c r="E28" s="34">
        <f>'Impact assesment'!D28</f>
        <v>5.4142561788424831E-8</v>
      </c>
      <c r="F28" s="34">
        <f>'Direct Recycling LFP_full recov'!D173</f>
        <v>4.1389559019284972E-8</v>
      </c>
    </row>
    <row r="29" spans="1:6" x14ac:dyDescent="0.25">
      <c r="A29" t="s">
        <v>203</v>
      </c>
      <c r="B29" t="s">
        <v>204</v>
      </c>
      <c r="C29" s="33">
        <f>[12]Impacts!E26</f>
        <v>3.2074180484738209E-2</v>
      </c>
      <c r="D29" s="33">
        <f>[13]Impacts!E26</f>
        <v>2.0306474447019846E-2</v>
      </c>
      <c r="E29" s="34">
        <f>'Impact assesment'!D29</f>
        <v>7.2847544248358913E-3</v>
      </c>
      <c r="F29" s="34">
        <f>'Direct Recycling LFP_full recov'!D174</f>
        <v>6.301774565269716E-3</v>
      </c>
    </row>
    <row r="30" spans="1:6" x14ac:dyDescent="0.25">
      <c r="A30" t="s">
        <v>205</v>
      </c>
      <c r="B30" t="s">
        <v>206</v>
      </c>
      <c r="C30" s="33">
        <f>[12]Impacts!E27</f>
        <v>5.3738143766703645</v>
      </c>
      <c r="D30" s="33">
        <f>[13]Impacts!E27</f>
        <v>3.9773633535713429</v>
      </c>
      <c r="E30" s="34">
        <f>'Impact assesment'!D30</f>
        <v>0.58329954598600031</v>
      </c>
      <c r="F30" s="34">
        <f>'Direct Recycling LFP_full recov'!D175</f>
        <v>0.52237110989170055</v>
      </c>
    </row>
    <row r="32" spans="1:6" x14ac:dyDescent="0.25">
      <c r="C32" s="43" t="s">
        <v>215</v>
      </c>
      <c r="D32" s="44"/>
      <c r="E32" s="45" t="s">
        <v>216</v>
      </c>
      <c r="F32" s="46"/>
    </row>
    <row r="33" spans="2:6" x14ac:dyDescent="0.25">
      <c r="C33" s="21" t="s">
        <v>100</v>
      </c>
      <c r="D33" s="21" t="s">
        <v>101</v>
      </c>
      <c r="E33" s="22" t="s">
        <v>102</v>
      </c>
      <c r="F33" s="22" t="s">
        <v>103</v>
      </c>
    </row>
    <row r="34" spans="2:6" x14ac:dyDescent="0.25">
      <c r="B34" t="s">
        <v>209</v>
      </c>
      <c r="C34" s="23">
        <f>C6/$D$6</f>
        <v>9.5980670840365559E-2</v>
      </c>
      <c r="D34" s="23">
        <f>D6/$D$6</f>
        <v>1</v>
      </c>
      <c r="E34" s="23">
        <f>E6/$D$6</f>
        <v>1.1308772824898655E-2</v>
      </c>
      <c r="F34" s="23">
        <f>F6/$D$6</f>
        <v>9.9314340999960664E-3</v>
      </c>
    </row>
    <row r="35" spans="2:6" x14ac:dyDescent="0.25">
      <c r="B35" t="s">
        <v>91</v>
      </c>
      <c r="C35" s="23">
        <f>C7/$C$7</f>
        <v>1</v>
      </c>
      <c r="D35" s="23">
        <f>D7/$C$7</f>
        <v>0.65477857076609691</v>
      </c>
      <c r="E35" s="23">
        <f>E7/$C$7</f>
        <v>0.57244867805382083</v>
      </c>
      <c r="F35" s="23">
        <f>F7/$C$7</f>
        <v>0.45132819053484841</v>
      </c>
    </row>
    <row r="36" spans="2:6" x14ac:dyDescent="0.25">
      <c r="B36" t="s">
        <v>92</v>
      </c>
      <c r="C36" s="23">
        <f>C11/$C$11</f>
        <v>1</v>
      </c>
      <c r="D36" s="23">
        <f t="shared" ref="D36:F36" si="0">D11/$C$11</f>
        <v>0.71576423026208136</v>
      </c>
      <c r="E36" s="23">
        <f t="shared" si="0"/>
        <v>0.18650894175472746</v>
      </c>
      <c r="F36" s="23">
        <f t="shared" si="0"/>
        <v>6.5715443238673996E-2</v>
      </c>
    </row>
    <row r="37" spans="2:6" ht="18" x14ac:dyDescent="0.35">
      <c r="B37" s="31" t="s">
        <v>210</v>
      </c>
      <c r="C37" s="23">
        <f>C18/$C$18</f>
        <v>1</v>
      </c>
      <c r="D37" s="23">
        <f t="shared" ref="D37:F37" si="1">D18/$C$18</f>
        <v>0.80029777787440515</v>
      </c>
      <c r="E37" s="23">
        <f t="shared" si="1"/>
        <v>0.12211098964217265</v>
      </c>
      <c r="F37" s="23">
        <f t="shared" si="1"/>
        <v>9.3448640726568541E-2</v>
      </c>
    </row>
    <row r="38" spans="2:6" ht="18" x14ac:dyDescent="0.35">
      <c r="B38" s="31" t="s">
        <v>211</v>
      </c>
      <c r="C38" s="23">
        <f>C21/$C$21</f>
        <v>1</v>
      </c>
      <c r="D38" s="23">
        <f t="shared" ref="D38:F38" si="2">D21/$C$21</f>
        <v>0.68418675848022636</v>
      </c>
      <c r="E38" s="23">
        <f t="shared" si="2"/>
        <v>7.7054343605471989E-2</v>
      </c>
      <c r="F38" s="23">
        <f t="shared" si="2"/>
        <v>5.9126454172773811E-2</v>
      </c>
    </row>
    <row r="39" spans="2:6" x14ac:dyDescent="0.25">
      <c r="B39" t="s">
        <v>212</v>
      </c>
      <c r="C39" s="23">
        <f>C26/$C$26</f>
        <v>1</v>
      </c>
      <c r="D39" s="23">
        <f t="shared" ref="D39:F39" si="3">D26/$C$26</f>
        <v>0.76935274812955134</v>
      </c>
      <c r="E39" s="23">
        <f t="shared" si="3"/>
        <v>3.503342721496016E-2</v>
      </c>
      <c r="F39" s="23">
        <f t="shared" si="3"/>
        <v>2.9032608547441292E-2</v>
      </c>
    </row>
    <row r="40" spans="2:6" x14ac:dyDescent="0.25">
      <c r="B40" t="s">
        <v>93</v>
      </c>
      <c r="C40" s="23">
        <f>C28/$D$28</f>
        <v>0.10528403248985335</v>
      </c>
      <c r="D40" s="23">
        <f t="shared" ref="D40:F40" si="4">D28/$D$28</f>
        <v>1</v>
      </c>
      <c r="E40" s="23">
        <f t="shared" si="4"/>
        <v>1.0907641028534538E-2</v>
      </c>
      <c r="F40" s="23">
        <f t="shared" si="4"/>
        <v>8.3384021220847173E-3</v>
      </c>
    </row>
    <row r="41" spans="2:6" x14ac:dyDescent="0.25">
      <c r="B41" t="s">
        <v>214</v>
      </c>
      <c r="C41" s="23">
        <f>C30/$C$30</f>
        <v>1</v>
      </c>
      <c r="D41" s="23">
        <f t="shared" ref="D41:F41" si="5">D30/$C$30</f>
        <v>0.74013783781562847</v>
      </c>
      <c r="E41" s="23">
        <f t="shared" si="5"/>
        <v>0.10854478869205283</v>
      </c>
      <c r="F41" s="23">
        <f t="shared" si="5"/>
        <v>9.7206764744145038E-2</v>
      </c>
    </row>
  </sheetData>
  <mergeCells count="7">
    <mergeCell ref="C32:D32"/>
    <mergeCell ref="E32:F32"/>
    <mergeCell ref="A3:A5"/>
    <mergeCell ref="B3:B5"/>
    <mergeCell ref="C3:D3"/>
    <mergeCell ref="E3:F3"/>
    <mergeCell ref="C5:F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4716-C9E8-A34B-92D6-36FA260ACDBE}">
  <dimension ref="A1:F113"/>
  <sheetViews>
    <sheetView tabSelected="1" topLeftCell="A48" zoomScale="150" zoomScaleNormal="150" workbookViewId="0">
      <selection activeCell="B85" sqref="B85"/>
    </sheetView>
  </sheetViews>
  <sheetFormatPr defaultColWidth="11" defaultRowHeight="15.75" x14ac:dyDescent="0.25"/>
  <cols>
    <col min="1" max="1" width="58.125" customWidth="1"/>
    <col min="2" max="2" width="16.875" customWidth="1"/>
    <col min="3" max="3" width="18.125" customWidth="1"/>
  </cols>
  <sheetData>
    <row r="1" spans="1:5" ht="20.25" thickBot="1" x14ac:dyDescent="0.35">
      <c r="A1" s="19" t="s">
        <v>105</v>
      </c>
      <c r="B1" s="19"/>
      <c r="C1" t="s">
        <v>106</v>
      </c>
      <c r="D1" t="s">
        <v>107</v>
      </c>
    </row>
    <row r="2" spans="1:5" ht="16.5" thickTop="1" x14ac:dyDescent="0.25">
      <c r="C2" t="s">
        <v>108</v>
      </c>
      <c r="D2" t="s">
        <v>109</v>
      </c>
    </row>
    <row r="3" spans="1:5" ht="18" thickBot="1" x14ac:dyDescent="0.35">
      <c r="A3" s="18" t="s">
        <v>110</v>
      </c>
    </row>
    <row r="4" spans="1:5" ht="16.5" thickTop="1" x14ac:dyDescent="0.25">
      <c r="A4" s="5" t="s">
        <v>111</v>
      </c>
      <c r="B4" s="5" t="s">
        <v>112</v>
      </c>
      <c r="C4" s="5" t="s">
        <v>113</v>
      </c>
      <c r="D4" s="5" t="s">
        <v>114</v>
      </c>
    </row>
    <row r="5" spans="1:5" x14ac:dyDescent="0.25">
      <c r="A5" s="5" t="s">
        <v>115</v>
      </c>
      <c r="B5" s="20">
        <f>3237.54/1000</f>
        <v>3.2375400000000001</v>
      </c>
      <c r="C5" s="20"/>
      <c r="D5" s="5" t="s">
        <v>28</v>
      </c>
    </row>
    <row r="6" spans="1:5" x14ac:dyDescent="0.25">
      <c r="A6" s="5" t="s">
        <v>116</v>
      </c>
      <c r="B6" s="20"/>
      <c r="C6" s="20"/>
      <c r="D6" s="5"/>
    </row>
    <row r="7" spans="1:5" x14ac:dyDescent="0.25">
      <c r="A7" s="5" t="s">
        <v>117</v>
      </c>
      <c r="B7" s="20"/>
      <c r="C7" s="20">
        <v>0</v>
      </c>
      <c r="D7" s="5" t="s">
        <v>28</v>
      </c>
    </row>
    <row r="8" spans="1:5" x14ac:dyDescent="0.25">
      <c r="A8" s="5" t="s">
        <v>118</v>
      </c>
      <c r="B8" s="20"/>
      <c r="C8" s="20">
        <f>1271.48/1000</f>
        <v>1.2714799999999999</v>
      </c>
      <c r="D8" s="5" t="s">
        <v>28</v>
      </c>
      <c r="E8" t="s">
        <v>119</v>
      </c>
    </row>
    <row r="9" spans="1:5" x14ac:dyDescent="0.25">
      <c r="A9" s="5" t="s">
        <v>120</v>
      </c>
      <c r="B9" s="20"/>
      <c r="C9" s="20">
        <f>879.26/1000</f>
        <v>0.87926000000000004</v>
      </c>
      <c r="D9" s="5" t="s">
        <v>28</v>
      </c>
    </row>
    <row r="10" spans="1:5" x14ac:dyDescent="0.25">
      <c r="A10" s="5" t="s">
        <v>121</v>
      </c>
      <c r="B10" s="20"/>
      <c r="C10" s="20">
        <f>219.32/1000</f>
        <v>0.21931999999999999</v>
      </c>
      <c r="D10" s="5" t="s">
        <v>28</v>
      </c>
    </row>
    <row r="11" spans="1:5" x14ac:dyDescent="0.25">
      <c r="A11" s="5" t="s">
        <v>122</v>
      </c>
      <c r="B11" s="20"/>
      <c r="C11" s="20">
        <f>770.34/1000</f>
        <v>0.77034000000000002</v>
      </c>
      <c r="D11" s="5" t="s">
        <v>28</v>
      </c>
    </row>
    <row r="12" spans="1:5" x14ac:dyDescent="0.25">
      <c r="A12" s="5" t="s">
        <v>123</v>
      </c>
      <c r="B12" s="20"/>
      <c r="C12" s="20">
        <f>B5-SUM(C7:C11)</f>
        <v>9.7140000000000004E-2</v>
      </c>
      <c r="D12" s="5" t="s">
        <v>28</v>
      </c>
    </row>
    <row r="13" spans="1:5" x14ac:dyDescent="0.25">
      <c r="A13" s="5" t="s">
        <v>124</v>
      </c>
      <c r="B13" s="20">
        <f>B5</f>
        <v>3.2375400000000001</v>
      </c>
      <c r="C13" s="20">
        <f>SUM(C7:C12)</f>
        <v>3.2375400000000001</v>
      </c>
      <c r="D13" s="5"/>
    </row>
    <row r="15" spans="1:5" ht="18" thickBot="1" x14ac:dyDescent="0.35">
      <c r="A15" s="18" t="s">
        <v>125</v>
      </c>
    </row>
    <row r="16" spans="1:5" ht="16.5" thickTop="1" x14ac:dyDescent="0.25">
      <c r="A16" s="5" t="s">
        <v>111</v>
      </c>
      <c r="B16" s="5" t="s">
        <v>112</v>
      </c>
      <c r="C16" s="5" t="s">
        <v>113</v>
      </c>
      <c r="D16" s="5" t="s">
        <v>114</v>
      </c>
    </row>
    <row r="17" spans="1:5" x14ac:dyDescent="0.25">
      <c r="A17" s="5" t="s">
        <v>126</v>
      </c>
      <c r="B17" s="20">
        <f>C8</f>
        <v>1.2714799999999999</v>
      </c>
      <c r="C17" s="20"/>
      <c r="D17" s="5" t="s">
        <v>28</v>
      </c>
    </row>
    <row r="18" spans="1:5" x14ac:dyDescent="0.25">
      <c r="A18" s="5" t="s">
        <v>127</v>
      </c>
      <c r="B18" s="20">
        <v>2</v>
      </c>
      <c r="C18" s="20"/>
      <c r="D18" s="5" t="s">
        <v>128</v>
      </c>
      <c r="E18" t="s">
        <v>119</v>
      </c>
    </row>
    <row r="19" spans="1:5" x14ac:dyDescent="0.25">
      <c r="A19" s="5" t="s">
        <v>129</v>
      </c>
      <c r="B19" s="20">
        <f>1992.4/1000</f>
        <v>1.9924000000000002</v>
      </c>
      <c r="C19" s="20"/>
      <c r="D19" s="5" t="s">
        <v>28</v>
      </c>
    </row>
    <row r="20" spans="1:5" x14ac:dyDescent="0.25">
      <c r="A20" s="5" t="s">
        <v>130</v>
      </c>
      <c r="B20" s="20"/>
      <c r="C20" s="20">
        <f>3260.63/1000</f>
        <v>3.2606299999999999</v>
      </c>
      <c r="D20" s="5" t="s">
        <v>28</v>
      </c>
    </row>
    <row r="21" spans="1:5" x14ac:dyDescent="0.25">
      <c r="A21" s="5" t="s">
        <v>131</v>
      </c>
      <c r="B21" s="20"/>
      <c r="C21" s="20">
        <f>(B17+B19)-C20</f>
        <v>3.2500000000004192E-3</v>
      </c>
      <c r="D21" s="5" t="s">
        <v>28</v>
      </c>
    </row>
    <row r="22" spans="1:5" x14ac:dyDescent="0.25">
      <c r="A22" s="5" t="s">
        <v>124</v>
      </c>
      <c r="B22" s="20">
        <f>B17+B19</f>
        <v>3.2638800000000003</v>
      </c>
      <c r="C22" s="20">
        <f>SUM(C20:C21)</f>
        <v>3.2638800000000003</v>
      </c>
      <c r="D22" s="5" t="s">
        <v>28</v>
      </c>
    </row>
    <row r="24" spans="1:5" ht="18" thickBot="1" x14ac:dyDescent="0.35">
      <c r="A24" s="18" t="s">
        <v>132</v>
      </c>
    </row>
    <row r="25" spans="1:5" ht="16.5" thickTop="1" x14ac:dyDescent="0.25">
      <c r="A25" s="5" t="s">
        <v>111</v>
      </c>
      <c r="B25" s="5" t="s">
        <v>112</v>
      </c>
      <c r="C25" s="5" t="s">
        <v>113</v>
      </c>
      <c r="D25" s="5" t="s">
        <v>114</v>
      </c>
    </row>
    <row r="26" spans="1:5" x14ac:dyDescent="0.25">
      <c r="A26" s="5" t="s">
        <v>130</v>
      </c>
      <c r="B26" s="20">
        <f>C20</f>
        <v>3.2606299999999999</v>
      </c>
      <c r="C26" s="20"/>
      <c r="D26" s="5" t="s">
        <v>28</v>
      </c>
    </row>
    <row r="27" spans="1:5" x14ac:dyDescent="0.25">
      <c r="A27" s="5" t="s">
        <v>133</v>
      </c>
      <c r="B27" s="20"/>
      <c r="C27" s="20">
        <f>342.36/1000</f>
        <v>0.34236</v>
      </c>
      <c r="D27" s="5" t="s">
        <v>28</v>
      </c>
      <c r="E27" t="s">
        <v>119</v>
      </c>
    </row>
    <row r="28" spans="1:5" x14ac:dyDescent="0.25">
      <c r="A28" s="5" t="s">
        <v>134</v>
      </c>
      <c r="B28" s="20"/>
      <c r="C28" s="20">
        <f>2660.29/1000</f>
        <v>2.6602899999999998</v>
      </c>
      <c r="D28" s="5" t="s">
        <v>28</v>
      </c>
    </row>
    <row r="29" spans="1:5" x14ac:dyDescent="0.25">
      <c r="A29" s="5" t="s">
        <v>135</v>
      </c>
      <c r="B29" s="20"/>
      <c r="C29" s="20">
        <f>B26-SUM(C27:C28)</f>
        <v>0.25797999999999988</v>
      </c>
      <c r="D29" s="5" t="s">
        <v>28</v>
      </c>
    </row>
    <row r="30" spans="1:5" x14ac:dyDescent="0.25">
      <c r="A30" s="5" t="s">
        <v>124</v>
      </c>
      <c r="B30" s="20">
        <f>B26</f>
        <v>3.2606299999999999</v>
      </c>
      <c r="C30" s="20">
        <f>SUM(C27:C29)</f>
        <v>3.2606299999999999</v>
      </c>
      <c r="D30" s="5"/>
    </row>
    <row r="32" spans="1:5" ht="18" thickBot="1" x14ac:dyDescent="0.35">
      <c r="A32" s="18" t="s">
        <v>136</v>
      </c>
    </row>
    <row r="33" spans="1:5" ht="16.5" thickTop="1" x14ac:dyDescent="0.25">
      <c r="A33" s="5" t="s">
        <v>111</v>
      </c>
      <c r="B33" s="5" t="s">
        <v>112</v>
      </c>
      <c r="C33" s="5" t="s">
        <v>113</v>
      </c>
      <c r="D33" s="5" t="s">
        <v>114</v>
      </c>
    </row>
    <row r="34" spans="1:5" x14ac:dyDescent="0.25">
      <c r="A34" s="5" t="s">
        <v>133</v>
      </c>
      <c r="B34" s="20">
        <f>C27</f>
        <v>0.34236</v>
      </c>
      <c r="C34" s="5"/>
      <c r="D34" s="5" t="s">
        <v>28</v>
      </c>
    </row>
    <row r="35" spans="1:5" x14ac:dyDescent="0.25">
      <c r="A35" s="5" t="s">
        <v>137</v>
      </c>
      <c r="B35" s="20">
        <f>497.66/1000</f>
        <v>0.49766000000000005</v>
      </c>
      <c r="C35" s="5"/>
      <c r="D35" s="5" t="s">
        <v>28</v>
      </c>
    </row>
    <row r="36" spans="1:5" x14ac:dyDescent="0.25">
      <c r="A36" s="5" t="s">
        <v>138</v>
      </c>
      <c r="B36" s="20"/>
      <c r="C36" s="20">
        <f>353.62/1000</f>
        <v>0.35361999999999999</v>
      </c>
      <c r="D36" s="5" t="s">
        <v>28</v>
      </c>
      <c r="E36" t="s">
        <v>119</v>
      </c>
    </row>
    <row r="37" spans="1:5" x14ac:dyDescent="0.25">
      <c r="A37" s="5" t="s">
        <v>139</v>
      </c>
      <c r="B37" s="20"/>
      <c r="C37" s="20">
        <f>462.72/1000</f>
        <v>0.46272000000000002</v>
      </c>
      <c r="D37" s="5" t="s">
        <v>28</v>
      </c>
    </row>
    <row r="38" spans="1:5" x14ac:dyDescent="0.25">
      <c r="A38" s="5" t="s">
        <v>140</v>
      </c>
      <c r="B38" s="20"/>
      <c r="C38" s="20">
        <f>2.94/1000</f>
        <v>2.9399999999999999E-3</v>
      </c>
      <c r="D38" s="5" t="s">
        <v>28</v>
      </c>
    </row>
    <row r="39" spans="1:5" x14ac:dyDescent="0.25">
      <c r="A39" s="5" t="s">
        <v>141</v>
      </c>
      <c r="B39" s="20"/>
      <c r="C39" s="20">
        <f>SUM(B34:B35)-SUM(C36:C38)</f>
        <v>2.073999999999987E-2</v>
      </c>
      <c r="D39" s="5" t="s">
        <v>28</v>
      </c>
    </row>
    <row r="40" spans="1:5" x14ac:dyDescent="0.25">
      <c r="A40" s="5" t="s">
        <v>124</v>
      </c>
      <c r="B40" s="20">
        <f>SUM(B34:B35)</f>
        <v>0.84001999999999999</v>
      </c>
      <c r="C40" s="20">
        <f>SUM(C36:C39)</f>
        <v>0.84001999999999999</v>
      </c>
      <c r="D40" s="5"/>
    </row>
    <row r="42" spans="1:5" ht="18" thickBot="1" x14ac:dyDescent="0.35">
      <c r="A42" s="18" t="s">
        <v>142</v>
      </c>
    </row>
    <row r="43" spans="1:5" ht="16.5" thickTop="1" x14ac:dyDescent="0.25">
      <c r="A43" s="5" t="s">
        <v>111</v>
      </c>
      <c r="B43" s="5" t="s">
        <v>112</v>
      </c>
      <c r="C43" s="5" t="s">
        <v>113</v>
      </c>
      <c r="D43" s="5" t="s">
        <v>114</v>
      </c>
    </row>
    <row r="44" spans="1:5" x14ac:dyDescent="0.25">
      <c r="A44" s="5" t="s">
        <v>143</v>
      </c>
      <c r="B44" s="20">
        <f>C9</f>
        <v>0.87926000000000004</v>
      </c>
      <c r="C44" s="20"/>
      <c r="D44" s="5" t="s">
        <v>28</v>
      </c>
    </row>
    <row r="45" spans="1:5" x14ac:dyDescent="0.25">
      <c r="A45" s="5" t="s">
        <v>127</v>
      </c>
      <c r="B45" s="20">
        <v>2</v>
      </c>
      <c r="C45" s="20"/>
      <c r="D45" s="5" t="s">
        <v>128</v>
      </c>
      <c r="E45" t="s">
        <v>119</v>
      </c>
    </row>
    <row r="46" spans="1:5" x14ac:dyDescent="0.25">
      <c r="A46" s="5" t="s">
        <v>129</v>
      </c>
      <c r="B46" s="20">
        <f>1991.06/1000</f>
        <v>1.9910600000000001</v>
      </c>
      <c r="C46" s="20"/>
      <c r="D46" s="5" t="s">
        <v>28</v>
      </c>
    </row>
    <row r="47" spans="1:5" x14ac:dyDescent="0.25">
      <c r="A47" s="5" t="s">
        <v>144</v>
      </c>
      <c r="B47" s="20"/>
      <c r="C47" s="20">
        <f>2864.71/1000</f>
        <v>2.8647100000000001</v>
      </c>
      <c r="D47" s="5" t="s">
        <v>28</v>
      </c>
    </row>
    <row r="48" spans="1:5" x14ac:dyDescent="0.25">
      <c r="A48" s="5" t="s">
        <v>131</v>
      </c>
      <c r="B48" s="20"/>
      <c r="C48" s="20">
        <f>SUM(B44,B46)-C47</f>
        <v>5.6099999999998929E-3</v>
      </c>
      <c r="D48" s="5" t="s">
        <v>28</v>
      </c>
    </row>
    <row r="49" spans="1:5" x14ac:dyDescent="0.25">
      <c r="A49" s="5" t="s">
        <v>124</v>
      </c>
      <c r="B49" s="20">
        <f>SUM(B44,B46)</f>
        <v>2.87032</v>
      </c>
      <c r="C49" s="20">
        <f>SUM(C47:C48)</f>
        <v>2.87032</v>
      </c>
      <c r="D49" s="5" t="s">
        <v>28</v>
      </c>
    </row>
    <row r="52" spans="1:5" ht="18" thickBot="1" x14ac:dyDescent="0.35">
      <c r="A52" s="18" t="s">
        <v>145</v>
      </c>
    </row>
    <row r="53" spans="1:5" ht="16.5" thickTop="1" x14ac:dyDescent="0.25">
      <c r="A53" s="5" t="s">
        <v>111</v>
      </c>
      <c r="B53" s="5" t="s">
        <v>112</v>
      </c>
      <c r="C53" s="5" t="s">
        <v>113</v>
      </c>
      <c r="D53" s="5" t="s">
        <v>114</v>
      </c>
    </row>
    <row r="54" spans="1:5" x14ac:dyDescent="0.25">
      <c r="A54" s="5" t="s">
        <v>144</v>
      </c>
      <c r="B54" s="20">
        <f>C47</f>
        <v>2.8647100000000001</v>
      </c>
      <c r="C54" s="20"/>
      <c r="D54" s="5" t="s">
        <v>28</v>
      </c>
    </row>
    <row r="55" spans="1:5" x14ac:dyDescent="0.25">
      <c r="A55" s="5" t="s">
        <v>146</v>
      </c>
      <c r="B55" s="20"/>
      <c r="C55" s="20">
        <f>489.88/1000</f>
        <v>0.48987999999999998</v>
      </c>
      <c r="D55" s="5" t="s">
        <v>28</v>
      </c>
      <c r="E55" t="s">
        <v>119</v>
      </c>
    </row>
    <row r="56" spans="1:5" x14ac:dyDescent="0.25">
      <c r="A56" s="5" t="s">
        <v>134</v>
      </c>
      <c r="B56" s="20"/>
      <c r="C56" s="20">
        <f>1943.97/1000</f>
        <v>1.94397</v>
      </c>
      <c r="D56" s="5" t="s">
        <v>28</v>
      </c>
    </row>
    <row r="57" spans="1:5" x14ac:dyDescent="0.25">
      <c r="A57" s="5" t="s">
        <v>147</v>
      </c>
      <c r="B57" s="20"/>
      <c r="C57" s="20">
        <f>B54-SUM(C55:C56)</f>
        <v>0.43086000000000002</v>
      </c>
      <c r="D57" s="5" t="s">
        <v>28</v>
      </c>
    </row>
    <row r="58" spans="1:5" x14ac:dyDescent="0.25">
      <c r="A58" s="5"/>
      <c r="B58" s="20">
        <f>SUM(B54)</f>
        <v>2.8647100000000001</v>
      </c>
      <c r="C58" s="20">
        <f>SUM(C55:C57)</f>
        <v>2.8647100000000001</v>
      </c>
      <c r="D58" s="5"/>
    </row>
    <row r="59" spans="1:5" ht="18" thickBot="1" x14ac:dyDescent="0.35">
      <c r="A59" s="18" t="s">
        <v>148</v>
      </c>
    </row>
    <row r="60" spans="1:5" ht="16.5" thickTop="1" x14ac:dyDescent="0.25">
      <c r="A60" s="5" t="s">
        <v>111</v>
      </c>
      <c r="B60" s="5" t="s">
        <v>112</v>
      </c>
      <c r="C60" s="5" t="s">
        <v>113</v>
      </c>
      <c r="D60" s="5" t="s">
        <v>114</v>
      </c>
    </row>
    <row r="61" spans="1:5" x14ac:dyDescent="0.25">
      <c r="A61" s="5" t="s">
        <v>149</v>
      </c>
      <c r="B61" s="20">
        <f>3099.47/1000</f>
        <v>3.0994699999999997</v>
      </c>
      <c r="C61" s="20"/>
      <c r="D61" s="5" t="s">
        <v>28</v>
      </c>
    </row>
    <row r="62" spans="1:5" x14ac:dyDescent="0.25">
      <c r="A62" s="5" t="s">
        <v>72</v>
      </c>
      <c r="B62" s="20">
        <v>3.68</v>
      </c>
      <c r="C62" s="20"/>
      <c r="D62" s="5" t="s">
        <v>150</v>
      </c>
    </row>
    <row r="63" spans="1:5" x14ac:dyDescent="0.25">
      <c r="A63" s="5" t="s">
        <v>151</v>
      </c>
      <c r="B63" s="20"/>
      <c r="C63" s="20">
        <f>1434.19/1000</f>
        <v>1.4341900000000001</v>
      </c>
      <c r="D63" s="5" t="s">
        <v>28</v>
      </c>
      <c r="E63" t="s">
        <v>119</v>
      </c>
    </row>
    <row r="64" spans="1:5" x14ac:dyDescent="0.25">
      <c r="A64" s="5" t="s">
        <v>134</v>
      </c>
      <c r="B64" s="20"/>
      <c r="C64" s="20">
        <f>(1537.89-(1.93))/1000</f>
        <v>1.53596</v>
      </c>
      <c r="D64" s="5" t="s">
        <v>28</v>
      </c>
    </row>
    <row r="65" spans="1:5" x14ac:dyDescent="0.25">
      <c r="A65" s="5" t="s">
        <v>152</v>
      </c>
      <c r="B65" s="20"/>
      <c r="C65" s="20">
        <f>B61-SUM(C63:C64,C66)</f>
        <v>0.11157999999999957</v>
      </c>
      <c r="D65" s="5" t="s">
        <v>28</v>
      </c>
    </row>
    <row r="66" spans="1:5" x14ac:dyDescent="0.25">
      <c r="A66" s="5" t="s">
        <v>153</v>
      </c>
      <c r="B66" s="20"/>
      <c r="C66" s="20">
        <f>17.74/1000</f>
        <v>1.7739999999999999E-2</v>
      </c>
      <c r="D66" s="5" t="s">
        <v>28</v>
      </c>
    </row>
    <row r="67" spans="1:5" x14ac:dyDescent="0.25">
      <c r="A67" s="5"/>
      <c r="B67" s="20">
        <f>B61</f>
        <v>3.0994699999999997</v>
      </c>
      <c r="C67" s="20">
        <f>SUM(C63:C66)</f>
        <v>3.0994699999999997</v>
      </c>
      <c r="D67" s="5"/>
    </row>
    <row r="68" spans="1:5" ht="18" thickBot="1" x14ac:dyDescent="0.35">
      <c r="A68" s="18" t="s">
        <v>154</v>
      </c>
    </row>
    <row r="69" spans="1:5" ht="16.5" thickTop="1" x14ac:dyDescent="0.25">
      <c r="A69" s="5" t="s">
        <v>111</v>
      </c>
      <c r="B69" s="5" t="s">
        <v>112</v>
      </c>
      <c r="C69" s="5" t="s">
        <v>113</v>
      </c>
      <c r="D69" s="5" t="s">
        <v>114</v>
      </c>
    </row>
    <row r="70" spans="1:5" x14ac:dyDescent="0.25">
      <c r="A70" s="5" t="s">
        <v>134</v>
      </c>
      <c r="B70" s="20">
        <f>C64</f>
        <v>1.53596</v>
      </c>
      <c r="C70" s="20"/>
      <c r="D70" s="5" t="s">
        <v>28</v>
      </c>
      <c r="E70" t="s">
        <v>119</v>
      </c>
    </row>
    <row r="71" spans="1:5" x14ac:dyDescent="0.25">
      <c r="A71" s="5" t="s">
        <v>72</v>
      </c>
      <c r="B71" s="20">
        <v>3.04</v>
      </c>
      <c r="C71" s="20"/>
      <c r="D71" s="5" t="s">
        <v>150</v>
      </c>
    </row>
    <row r="72" spans="1:5" x14ac:dyDescent="0.25">
      <c r="A72" s="5" t="s">
        <v>155</v>
      </c>
      <c r="B72" s="20"/>
      <c r="C72" s="20">
        <f>B70-C73</f>
        <v>0.50519000000000003</v>
      </c>
      <c r="D72" s="5" t="s">
        <v>28</v>
      </c>
    </row>
    <row r="73" spans="1:5" x14ac:dyDescent="0.25">
      <c r="A73" s="5" t="s">
        <v>156</v>
      </c>
      <c r="B73" s="20"/>
      <c r="C73" s="20">
        <f>1030.77/1000</f>
        <v>1.03077</v>
      </c>
      <c r="D73" s="5" t="s">
        <v>28</v>
      </c>
    </row>
    <row r="75" spans="1:5" ht="18" thickBot="1" x14ac:dyDescent="0.35">
      <c r="A75" s="18" t="s">
        <v>154</v>
      </c>
    </row>
    <row r="76" spans="1:5" ht="16.5" thickTop="1" x14ac:dyDescent="0.25">
      <c r="A76" s="5" t="s">
        <v>111</v>
      </c>
      <c r="B76" s="5" t="s">
        <v>112</v>
      </c>
      <c r="C76" s="5" t="s">
        <v>113</v>
      </c>
      <c r="D76" s="5" t="s">
        <v>114</v>
      </c>
      <c r="E76" t="s">
        <v>119</v>
      </c>
    </row>
    <row r="77" spans="1:5" x14ac:dyDescent="0.25">
      <c r="A77" s="5" t="s">
        <v>157</v>
      </c>
      <c r="B77" s="20">
        <f>353.62/1000</f>
        <v>0.35361999999999999</v>
      </c>
      <c r="C77" s="20"/>
      <c r="D77" s="5" t="s">
        <v>28</v>
      </c>
    </row>
    <row r="78" spans="1:5" x14ac:dyDescent="0.25">
      <c r="A78" s="5" t="s">
        <v>72</v>
      </c>
      <c r="B78" s="20">
        <v>0.64</v>
      </c>
      <c r="C78" s="20"/>
      <c r="D78" s="5" t="s">
        <v>150</v>
      </c>
    </row>
    <row r="79" spans="1:5" x14ac:dyDescent="0.25">
      <c r="A79" s="5" t="s">
        <v>155</v>
      </c>
      <c r="B79" s="20"/>
      <c r="C79" s="20">
        <f>B77-C80</f>
        <v>0.13930000000000001</v>
      </c>
      <c r="D79" s="5" t="s">
        <v>28</v>
      </c>
    </row>
    <row r="80" spans="1:5" x14ac:dyDescent="0.25">
      <c r="A80" s="5" t="s">
        <v>158</v>
      </c>
      <c r="B80" s="20"/>
      <c r="C80" s="20">
        <f>214.32/1000</f>
        <v>0.21431999999999998</v>
      </c>
      <c r="D80" s="5" t="s">
        <v>28</v>
      </c>
    </row>
    <row r="82" spans="1:5" ht="18" thickBot="1" x14ac:dyDescent="0.35">
      <c r="A82" s="18" t="s">
        <v>159</v>
      </c>
    </row>
    <row r="83" spans="1:5" ht="16.5" thickTop="1" x14ac:dyDescent="0.25">
      <c r="A83" s="5" t="s">
        <v>111</v>
      </c>
      <c r="B83" s="5" t="s">
        <v>112</v>
      </c>
      <c r="C83" s="5" t="s">
        <v>113</v>
      </c>
      <c r="D83" s="5" t="s">
        <v>114</v>
      </c>
      <c r="E83" t="s">
        <v>119</v>
      </c>
    </row>
    <row r="84" spans="1:5" x14ac:dyDescent="0.25">
      <c r="A84" s="5" t="s">
        <v>134</v>
      </c>
      <c r="B84" s="20">
        <f>1943.97/1000</f>
        <v>1.94397</v>
      </c>
      <c r="C84" s="20"/>
      <c r="D84" s="5" t="s">
        <v>28</v>
      </c>
    </row>
    <row r="85" spans="1:5" x14ac:dyDescent="0.25">
      <c r="A85" s="5" t="s">
        <v>72</v>
      </c>
      <c r="B85" s="20">
        <v>3.41</v>
      </c>
      <c r="C85" s="20"/>
      <c r="D85" s="5" t="s">
        <v>150</v>
      </c>
    </row>
    <row r="86" spans="1:5" x14ac:dyDescent="0.25">
      <c r="A86" s="5" t="s">
        <v>155</v>
      </c>
      <c r="B86" s="20"/>
      <c r="C86" s="20">
        <f>1014.68/1000</f>
        <v>1.01468</v>
      </c>
      <c r="D86" s="5" t="s">
        <v>28</v>
      </c>
    </row>
    <row r="87" spans="1:5" x14ac:dyDescent="0.25">
      <c r="A87" s="5" t="s">
        <v>156</v>
      </c>
      <c r="B87" s="20"/>
      <c r="C87" s="20">
        <f>765.31/1000</f>
        <v>0.76530999999999993</v>
      </c>
      <c r="D87" s="5" t="s">
        <v>28</v>
      </c>
    </row>
    <row r="88" spans="1:5" x14ac:dyDescent="0.25">
      <c r="A88" s="5" t="s">
        <v>152</v>
      </c>
      <c r="B88" s="20"/>
      <c r="C88" s="20">
        <f>B84-(C86+C87)</f>
        <v>0.16398000000000001</v>
      </c>
      <c r="D88" s="5" t="s">
        <v>28</v>
      </c>
    </row>
    <row r="90" spans="1:5" ht="18" thickBot="1" x14ac:dyDescent="0.35">
      <c r="A90" s="18" t="s">
        <v>159</v>
      </c>
    </row>
    <row r="91" spans="1:5" ht="16.5" thickTop="1" x14ac:dyDescent="0.25">
      <c r="A91" s="5" t="s">
        <v>111</v>
      </c>
      <c r="B91" s="5" t="s">
        <v>112</v>
      </c>
      <c r="C91" s="5" t="s">
        <v>113</v>
      </c>
      <c r="D91" s="5" t="s">
        <v>114</v>
      </c>
      <c r="E91" t="s">
        <v>119</v>
      </c>
    </row>
    <row r="92" spans="1:5" x14ac:dyDescent="0.25">
      <c r="A92" s="5" t="s">
        <v>160</v>
      </c>
      <c r="B92" s="20">
        <f>489.88/1000</f>
        <v>0.48987999999999998</v>
      </c>
      <c r="C92" s="20"/>
      <c r="D92" s="5" t="s">
        <v>28</v>
      </c>
    </row>
    <row r="93" spans="1:5" x14ac:dyDescent="0.25">
      <c r="A93" s="5" t="s">
        <v>72</v>
      </c>
      <c r="B93" s="20">
        <v>1.1599999999999999</v>
      </c>
      <c r="C93" s="20"/>
      <c r="D93" s="5" t="s">
        <v>150</v>
      </c>
    </row>
    <row r="94" spans="1:5" x14ac:dyDescent="0.25">
      <c r="A94" s="5" t="s">
        <v>155</v>
      </c>
      <c r="B94" s="20"/>
      <c r="C94" s="20">
        <f>B92-C95</f>
        <v>0.18779000000000001</v>
      </c>
      <c r="D94" s="5" t="s">
        <v>28</v>
      </c>
    </row>
    <row r="95" spans="1:5" x14ac:dyDescent="0.25">
      <c r="A95" s="5" t="s">
        <v>161</v>
      </c>
      <c r="B95" s="20"/>
      <c r="C95" s="20">
        <f>302.09/1000</f>
        <v>0.30208999999999997</v>
      </c>
      <c r="D95" s="5" t="s">
        <v>28</v>
      </c>
    </row>
    <row r="97" spans="1:6" ht="18" thickBot="1" x14ac:dyDescent="0.35">
      <c r="A97" s="18" t="s">
        <v>162</v>
      </c>
    </row>
    <row r="98" spans="1:6" ht="16.5" thickTop="1" x14ac:dyDescent="0.25">
      <c r="A98" s="5" t="s">
        <v>111</v>
      </c>
      <c r="B98" s="5" t="s">
        <v>112</v>
      </c>
      <c r="C98" s="5" t="s">
        <v>113</v>
      </c>
      <c r="D98" s="5" t="s">
        <v>114</v>
      </c>
    </row>
    <row r="99" spans="1:6" x14ac:dyDescent="0.25">
      <c r="A99" s="5" t="s">
        <v>163</v>
      </c>
      <c r="B99" s="20">
        <v>51.759599999999999</v>
      </c>
      <c r="C99" s="20"/>
      <c r="D99" s="5" t="s">
        <v>164</v>
      </c>
    </row>
    <row r="100" spans="1:6" x14ac:dyDescent="0.25">
      <c r="A100" s="5" t="s">
        <v>165</v>
      </c>
      <c r="B100" s="20">
        <v>0.76839999999999997</v>
      </c>
      <c r="C100" s="20"/>
      <c r="D100" s="5" t="s">
        <v>164</v>
      </c>
    </row>
    <row r="101" spans="1:6" x14ac:dyDescent="0.25">
      <c r="A101" s="5" t="s">
        <v>72</v>
      </c>
      <c r="B101" s="20">
        <f>0.092+0.092+5.146</f>
        <v>5.33</v>
      </c>
      <c r="C101" s="20"/>
      <c r="D101" s="5" t="s">
        <v>150</v>
      </c>
    </row>
    <row r="102" spans="1:6" x14ac:dyDescent="0.25">
      <c r="A102" s="5" t="s">
        <v>166</v>
      </c>
      <c r="B102" s="20"/>
      <c r="C102" s="20">
        <f>0.5287+0.4172</f>
        <v>0.94589999999999996</v>
      </c>
      <c r="D102" s="5" t="s">
        <v>164</v>
      </c>
    </row>
    <row r="103" spans="1:6" x14ac:dyDescent="0.25">
      <c r="A103" s="5" t="s">
        <v>167</v>
      </c>
      <c r="B103" s="20"/>
      <c r="C103" s="20">
        <v>2.0707</v>
      </c>
      <c r="D103" s="5" t="s">
        <v>164</v>
      </c>
    </row>
    <row r="104" spans="1:6" x14ac:dyDescent="0.25">
      <c r="A104" s="5" t="s">
        <v>168</v>
      </c>
      <c r="B104" s="20"/>
      <c r="C104" s="20">
        <v>49.511400000000002</v>
      </c>
      <c r="D104" s="5" t="s">
        <v>164</v>
      </c>
    </row>
    <row r="106" spans="1:6" ht="18" thickBot="1" x14ac:dyDescent="0.35">
      <c r="A106" s="18" t="s">
        <v>169</v>
      </c>
    </row>
    <row r="107" spans="1:6" ht="16.5" thickTop="1" x14ac:dyDescent="0.25">
      <c r="A107" s="5" t="s">
        <v>111</v>
      </c>
      <c r="B107" s="5" t="s">
        <v>112</v>
      </c>
      <c r="C107" s="5" t="s">
        <v>113</v>
      </c>
      <c r="D107" s="5" t="s">
        <v>114</v>
      </c>
    </row>
    <row r="108" spans="1:6" x14ac:dyDescent="0.25">
      <c r="A108" s="5" t="s">
        <v>163</v>
      </c>
      <c r="B108" s="20">
        <v>51.698300000000003</v>
      </c>
      <c r="C108" s="20"/>
      <c r="D108" s="5" t="s">
        <v>164</v>
      </c>
    </row>
    <row r="109" spans="1:6" x14ac:dyDescent="0.25">
      <c r="A109" s="5" t="s">
        <v>170</v>
      </c>
      <c r="B109" s="20">
        <v>1.1962999999999999</v>
      </c>
      <c r="C109" s="20"/>
      <c r="D109" s="5" t="s">
        <v>164</v>
      </c>
      <c r="F109" s="17"/>
    </row>
    <row r="110" spans="1:6" x14ac:dyDescent="0.25">
      <c r="A110" s="5" t="s">
        <v>72</v>
      </c>
      <c r="B110" s="20">
        <f>0.092+0.092+5.146</f>
        <v>5.33</v>
      </c>
      <c r="C110" s="20"/>
      <c r="D110" s="5" t="s">
        <v>150</v>
      </c>
    </row>
    <row r="111" spans="1:6" x14ac:dyDescent="0.25">
      <c r="A111" s="5" t="s">
        <v>166</v>
      </c>
      <c r="B111" s="20"/>
      <c r="C111" s="20">
        <f>0.0354+0.0788</f>
        <v>0.1142</v>
      </c>
      <c r="D111" s="5" t="s">
        <v>164</v>
      </c>
    </row>
    <row r="112" spans="1:6" x14ac:dyDescent="0.25">
      <c r="A112" s="5" t="s">
        <v>167</v>
      </c>
      <c r="B112" s="20"/>
      <c r="C112" s="20">
        <v>2.6240999999999999</v>
      </c>
      <c r="D112" s="5" t="s">
        <v>164</v>
      </c>
    </row>
    <row r="113" spans="1:4" x14ac:dyDescent="0.25">
      <c r="A113" s="5" t="s">
        <v>168</v>
      </c>
      <c r="B113" s="20"/>
      <c r="C113" s="20">
        <v>50.156300000000002</v>
      </c>
      <c r="D113" s="5" t="s">
        <v>164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Direct Recycling LFP_CAM</vt:lpstr>
      <vt:lpstr>Direct Recycling LFP_full recov</vt:lpstr>
      <vt:lpstr>Select cat_Impact assesment </vt:lpstr>
      <vt:lpstr>Impact assesment</vt:lpstr>
      <vt:lpstr>Primary vs Secondary LFP</vt:lpstr>
      <vt:lpstr>Input data from lab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Kallitsis, Evangelos</dc:creator>
  <cp:keywords/>
  <dc:description/>
  <cp:lastModifiedBy>Elizabeth Driscoll (Metallurgy and Materials)</cp:lastModifiedBy>
  <cp:revision/>
  <dcterms:created xsi:type="dcterms:W3CDTF">2024-02-26T14:13:51Z</dcterms:created>
  <dcterms:modified xsi:type="dcterms:W3CDTF">2025-06-10T12:22:56Z</dcterms:modified>
  <cp:category/>
  <cp:contentStatus/>
</cp:coreProperties>
</file>