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bs056\Dropbox\Documentos\University of Birmigham\Wetland Ecolab\Thesis\Annex\Biomass and carbon uptake results\"/>
    </mc:Choice>
  </mc:AlternateContent>
  <xr:revisionPtr revIDLastSave="0" documentId="13_ncr:1_{ACDF2197-88BE-4CD6-A3D3-1A710993D13A}" xr6:coauthVersionLast="47" xr6:coauthVersionMax="47" xr10:uidLastSave="{00000000-0000-0000-0000-000000000000}"/>
  <bookViews>
    <workbookView xWindow="-120" yWindow="-120" windowWidth="29040" windowHeight="15840" activeTab="3" xr2:uid="{F1E78DCA-8EF3-4BDF-A640-F7916001DCB8}"/>
  </bookViews>
  <sheets>
    <sheet name="Wet Weight" sheetId="1" r:id="rId1"/>
    <sheet name="Dry Weight" sheetId="4" r:id="rId2"/>
    <sheet name="Height" sheetId="2" r:id="rId3"/>
    <sheet name="Branches" sheetId="3" r:id="rId4"/>
  </sheets>
  <externalReferences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6" i="1" l="1"/>
  <c r="D97" i="1"/>
  <c r="F97" i="1" s="1"/>
  <c r="D98" i="1"/>
  <c r="D99" i="1"/>
  <c r="I4" i="4"/>
  <c r="L18" i="4" l="1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4" i="4"/>
  <c r="F96" i="1"/>
  <c r="F98" i="1"/>
  <c r="F99" i="1"/>
  <c r="E97" i="1"/>
  <c r="E98" i="1"/>
  <c r="E99" i="1"/>
  <c r="E96" i="1"/>
  <c r="E108" i="1"/>
  <c r="E107" i="1"/>
  <c r="F107" i="1" s="1"/>
  <c r="AS38" i="2"/>
  <c r="AJ38" i="2"/>
  <c r="U38" i="2"/>
  <c r="J38" i="2"/>
  <c r="K19" i="4"/>
  <c r="H19" i="4"/>
  <c r="E19" i="4"/>
  <c r="B19" i="4"/>
  <c r="C19" i="4" l="1"/>
  <c r="L19" i="4"/>
  <c r="I19" i="4"/>
  <c r="F19" i="4"/>
  <c r="AD48" i="3"/>
  <c r="AD41" i="3"/>
  <c r="AD42" i="3"/>
  <c r="AD43" i="3"/>
  <c r="AD44" i="3"/>
  <c r="AD45" i="3"/>
  <c r="AD46" i="3"/>
  <c r="AD47" i="3"/>
  <c r="AA47" i="3"/>
  <c r="AA46" i="3"/>
  <c r="AA45" i="3"/>
  <c r="AA44" i="3"/>
  <c r="AA43" i="3"/>
  <c r="AA42" i="3"/>
  <c r="AA41" i="3"/>
  <c r="S47" i="3"/>
  <c r="S46" i="3"/>
  <c r="S45" i="3"/>
  <c r="S44" i="3"/>
  <c r="S43" i="3"/>
  <c r="S42" i="3"/>
  <c r="S41" i="3"/>
  <c r="P41" i="3"/>
  <c r="P46" i="3"/>
  <c r="P45" i="3"/>
  <c r="P44" i="3"/>
  <c r="P43" i="3"/>
  <c r="P42" i="3"/>
  <c r="P47" i="3"/>
  <c r="U10" i="3"/>
  <c r="L48" i="3"/>
  <c r="L41" i="3"/>
  <c r="L42" i="3"/>
  <c r="L47" i="3"/>
  <c r="L46" i="3"/>
  <c r="L45" i="3"/>
  <c r="L44" i="3"/>
  <c r="L43" i="3"/>
  <c r="I48" i="3"/>
  <c r="I46" i="3"/>
  <c r="I45" i="3"/>
  <c r="I44" i="3"/>
  <c r="I43" i="3"/>
  <c r="I42" i="3"/>
  <c r="I47" i="3"/>
  <c r="I41" i="3"/>
  <c r="E46" i="3"/>
  <c r="E44" i="3"/>
  <c r="E43" i="3"/>
  <c r="E42" i="3"/>
  <c r="E45" i="3"/>
  <c r="E47" i="3"/>
  <c r="E41" i="3"/>
  <c r="B47" i="3"/>
  <c r="B46" i="3"/>
  <c r="B45" i="3"/>
  <c r="B44" i="3"/>
  <c r="B43" i="3"/>
  <c r="B42" i="3"/>
  <c r="B41" i="3"/>
  <c r="AD37" i="3"/>
  <c r="AB30" i="3"/>
  <c r="AB27" i="3"/>
  <c r="AD24" i="3"/>
  <c r="AB24" i="3"/>
  <c r="AD23" i="3"/>
  <c r="AB23" i="3"/>
  <c r="AA48" i="3" l="1"/>
  <c r="S48" i="3"/>
  <c r="P48" i="3"/>
  <c r="E48" i="3"/>
  <c r="B48" i="3"/>
  <c r="Q36" i="3"/>
  <c r="S35" i="3"/>
  <c r="U33" i="3"/>
  <c r="S33" i="3"/>
  <c r="Q33" i="3"/>
  <c r="Y31" i="3"/>
  <c r="W31" i="3"/>
  <c r="U31" i="3"/>
  <c r="S31" i="3"/>
  <c r="S29" i="3"/>
  <c r="W14" i="3"/>
  <c r="U14" i="3"/>
  <c r="R14" i="3"/>
  <c r="L37" i="3"/>
  <c r="J37" i="3"/>
  <c r="L36" i="3"/>
  <c r="L33" i="3"/>
  <c r="J32" i="3"/>
  <c r="N30" i="3"/>
  <c r="J28" i="3"/>
  <c r="J23" i="3"/>
  <c r="K9" i="3"/>
  <c r="E36" i="2"/>
  <c r="E27" i="2"/>
  <c r="E28" i="2"/>
  <c r="E29" i="2"/>
  <c r="E30" i="2"/>
  <c r="E31" i="2"/>
  <c r="E24" i="2"/>
  <c r="E24" i="3"/>
  <c r="E23" i="3"/>
  <c r="AB37" i="3"/>
  <c r="J36" i="3"/>
  <c r="C36" i="3"/>
  <c r="Q35" i="3"/>
  <c r="J35" i="3"/>
  <c r="AB34" i="3"/>
  <c r="W34" i="3"/>
  <c r="U34" i="3"/>
  <c r="S34" i="3"/>
  <c r="Q34" i="3"/>
  <c r="J34" i="3"/>
  <c r="AB33" i="3"/>
  <c r="J33" i="3"/>
  <c r="E33" i="3"/>
  <c r="C32" i="3"/>
  <c r="AD31" i="3"/>
  <c r="AB31" i="3"/>
  <c r="Q31" i="3"/>
  <c r="Q30" i="3"/>
  <c r="L30" i="3"/>
  <c r="J30" i="3"/>
  <c r="E30" i="3"/>
  <c r="AB29" i="3"/>
  <c r="Q29" i="3"/>
  <c r="G29" i="3"/>
  <c r="AB28" i="3"/>
  <c r="E28" i="3"/>
  <c r="Q27" i="3"/>
  <c r="L27" i="3"/>
  <c r="J27" i="3"/>
  <c r="AB26" i="3"/>
  <c r="J26" i="3"/>
  <c r="C26" i="3"/>
  <c r="AB25" i="3"/>
  <c r="S25" i="3"/>
  <c r="Q25" i="3"/>
  <c r="C25" i="3"/>
  <c r="Q24" i="3"/>
  <c r="G24" i="3"/>
  <c r="G23" i="3"/>
  <c r="C23" i="3"/>
  <c r="AD18" i="3"/>
  <c r="AB18" i="3"/>
  <c r="AD17" i="3"/>
  <c r="AB17" i="3"/>
  <c r="N17" i="3"/>
  <c r="K17" i="3"/>
  <c r="R16" i="3"/>
  <c r="K16" i="3"/>
  <c r="AB15" i="3"/>
  <c r="R15" i="3"/>
  <c r="AB14" i="3"/>
  <c r="D14" i="3"/>
  <c r="AB13" i="3"/>
  <c r="D13" i="3"/>
  <c r="AB12" i="3"/>
  <c r="R12" i="3"/>
  <c r="AB11" i="3"/>
  <c r="R11" i="3"/>
  <c r="K11" i="3"/>
  <c r="D11" i="3"/>
  <c r="R10" i="3"/>
  <c r="AB9" i="3"/>
  <c r="D9" i="3"/>
  <c r="AB8" i="3"/>
  <c r="AB7" i="3"/>
  <c r="D7" i="3"/>
  <c r="AB6" i="3"/>
  <c r="D6" i="3"/>
  <c r="R5" i="3"/>
  <c r="AB4" i="3"/>
  <c r="R4" i="3"/>
  <c r="L58" i="1"/>
  <c r="L50" i="1"/>
  <c r="B57" i="1"/>
  <c r="R19" i="1"/>
  <c r="Q63" i="1" s="1"/>
  <c r="R18" i="1"/>
  <c r="Q62" i="1" s="1"/>
  <c r="R17" i="1"/>
  <c r="Q61" i="1" s="1"/>
  <c r="R16" i="1"/>
  <c r="Q60" i="1" s="1"/>
  <c r="R15" i="1"/>
  <c r="Q59" i="1" s="1"/>
  <c r="R14" i="1"/>
  <c r="Q58" i="1" s="1"/>
  <c r="R13" i="1"/>
  <c r="Q57" i="1" s="1"/>
  <c r="R12" i="1"/>
  <c r="Q56" i="1" s="1"/>
  <c r="R11" i="1"/>
  <c r="Q55" i="1" s="1"/>
  <c r="R10" i="1"/>
  <c r="Q54" i="1" s="1"/>
  <c r="R9" i="1"/>
  <c r="Q53" i="1" s="1"/>
  <c r="R8" i="1"/>
  <c r="Q52" i="1" s="1"/>
  <c r="R7" i="1"/>
  <c r="Q51" i="1" s="1"/>
  <c r="R6" i="1"/>
  <c r="Q50" i="1" s="1"/>
  <c r="R5" i="1"/>
  <c r="Q49" i="1" s="1"/>
  <c r="M19" i="1"/>
  <c r="L63" i="1" s="1"/>
  <c r="M18" i="1"/>
  <c r="L62" i="1" s="1"/>
  <c r="M17" i="1"/>
  <c r="L61" i="1" s="1"/>
  <c r="M16" i="1"/>
  <c r="L60" i="1" s="1"/>
  <c r="M15" i="1"/>
  <c r="L59" i="1" s="1"/>
  <c r="M14" i="1"/>
  <c r="M13" i="1"/>
  <c r="L57" i="1" s="1"/>
  <c r="M12" i="1"/>
  <c r="L56" i="1" s="1"/>
  <c r="M11" i="1"/>
  <c r="L55" i="1" s="1"/>
  <c r="M10" i="1"/>
  <c r="L54" i="1" s="1"/>
  <c r="M9" i="1"/>
  <c r="L53" i="1" s="1"/>
  <c r="M8" i="1"/>
  <c r="L52" i="1" s="1"/>
  <c r="M7" i="1"/>
  <c r="L51" i="1" s="1"/>
  <c r="M6" i="1"/>
  <c r="M5" i="1"/>
  <c r="L49" i="1" s="1"/>
  <c r="H15" i="1"/>
  <c r="G59" i="1" s="1"/>
  <c r="H19" i="1"/>
  <c r="G63" i="1" s="1"/>
  <c r="H18" i="1"/>
  <c r="G62" i="1" s="1"/>
  <c r="H17" i="1"/>
  <c r="G61" i="1" s="1"/>
  <c r="H16" i="1"/>
  <c r="G60" i="1" s="1"/>
  <c r="H14" i="1"/>
  <c r="G58" i="1" s="1"/>
  <c r="H13" i="1"/>
  <c r="G57" i="1" s="1"/>
  <c r="H12" i="1"/>
  <c r="G56" i="1" s="1"/>
  <c r="H11" i="1"/>
  <c r="G55" i="1" s="1"/>
  <c r="H10" i="1"/>
  <c r="G54" i="1" s="1"/>
  <c r="H9" i="1"/>
  <c r="G53" i="1" s="1"/>
  <c r="H8" i="1"/>
  <c r="G52" i="1" s="1"/>
  <c r="H7" i="1"/>
  <c r="G51" i="1" s="1"/>
  <c r="H6" i="1"/>
  <c r="G50" i="1" s="1"/>
  <c r="H5" i="1"/>
  <c r="G49" i="1" s="1"/>
  <c r="C6" i="1"/>
  <c r="B50" i="1" s="1"/>
  <c r="C7" i="1"/>
  <c r="B51" i="1" s="1"/>
  <c r="C8" i="1"/>
  <c r="B52" i="1" s="1"/>
  <c r="C9" i="1"/>
  <c r="B53" i="1" s="1"/>
  <c r="C10" i="1"/>
  <c r="B54" i="1" s="1"/>
  <c r="C11" i="1"/>
  <c r="B55" i="1" s="1"/>
  <c r="C12" i="1"/>
  <c r="B56" i="1" s="1"/>
  <c r="C13" i="1"/>
  <c r="C14" i="1"/>
  <c r="B58" i="1" s="1"/>
  <c r="C15" i="1"/>
  <c r="B59" i="1" s="1"/>
  <c r="C16" i="1"/>
  <c r="B60" i="1" s="1"/>
  <c r="C17" i="1"/>
  <c r="B61" i="1" s="1"/>
  <c r="C18" i="1"/>
  <c r="B62" i="1" s="1"/>
  <c r="C19" i="1"/>
  <c r="B63" i="1" s="1"/>
  <c r="C5" i="1"/>
  <c r="B49" i="1" s="1"/>
  <c r="Q64" i="1" l="1"/>
  <c r="B93" i="1" s="1"/>
  <c r="G64" i="1"/>
  <c r="B91" i="1" s="1"/>
  <c r="B64" i="1"/>
  <c r="B90" i="1" s="1"/>
  <c r="L64" i="1"/>
  <c r="B92" i="1" s="1"/>
  <c r="Q20" i="1"/>
  <c r="L20" i="1"/>
  <c r="G20" i="1"/>
  <c r="H20" i="1" s="1"/>
  <c r="B20" i="1"/>
  <c r="AT37" i="2"/>
  <c r="AT36" i="2"/>
  <c r="AT35" i="2"/>
  <c r="AT34" i="2"/>
  <c r="AT33" i="2"/>
  <c r="AT32" i="2"/>
  <c r="AT31" i="2"/>
  <c r="AT30" i="2"/>
  <c r="AT29" i="2"/>
  <c r="AT28" i="2"/>
  <c r="AT27" i="2"/>
  <c r="AT26" i="2"/>
  <c r="AT25" i="2"/>
  <c r="AT24" i="2"/>
  <c r="AT23" i="2"/>
  <c r="AR23" i="2"/>
  <c r="AR24" i="2"/>
  <c r="AR31" i="2"/>
  <c r="AP29" i="2"/>
  <c r="AP24" i="2"/>
  <c r="AI31" i="2"/>
  <c r="AG31" i="2"/>
  <c r="AG34" i="2"/>
  <c r="AE34" i="2"/>
  <c r="AE31" i="2"/>
  <c r="AC25" i="2"/>
  <c r="AC31" i="2"/>
  <c r="AC34" i="2"/>
  <c r="AC35" i="2"/>
  <c r="AA36" i="2"/>
  <c r="AA25" i="2"/>
  <c r="AA27" i="2"/>
  <c r="T30" i="2"/>
  <c r="R27" i="2"/>
  <c r="R30" i="2"/>
  <c r="R33" i="2"/>
  <c r="R37" i="2"/>
  <c r="P37" i="2"/>
  <c r="P33" i="2"/>
  <c r="P32" i="2"/>
  <c r="P27" i="2"/>
  <c r="P26" i="2"/>
  <c r="P23" i="2"/>
  <c r="I23" i="2"/>
  <c r="G29" i="2"/>
  <c r="G24" i="2"/>
  <c r="G23" i="2"/>
  <c r="M20" i="1" l="1"/>
  <c r="N20" i="1" s="1"/>
  <c r="S20" i="1"/>
  <c r="R20" i="1"/>
  <c r="C20" i="1"/>
  <c r="D20" i="1" s="1"/>
  <c r="I20" i="1"/>
  <c r="AR37" i="2"/>
  <c r="AP37" i="2"/>
  <c r="AN37" i="2"/>
  <c r="Y37" i="2"/>
  <c r="AJ37" i="2" s="1"/>
  <c r="N37" i="2"/>
  <c r="U37" i="2" s="1"/>
  <c r="C37" i="2"/>
  <c r="J37" i="2" s="1"/>
  <c r="AN36" i="2"/>
  <c r="Y36" i="2"/>
  <c r="AJ36" i="2" s="1"/>
  <c r="AK36" i="2" s="1"/>
  <c r="R36" i="2"/>
  <c r="P36" i="2"/>
  <c r="N36" i="2"/>
  <c r="C36" i="2"/>
  <c r="J36" i="2" s="1"/>
  <c r="AN35" i="2"/>
  <c r="AS35" i="2" s="1"/>
  <c r="AA35" i="2"/>
  <c r="Y35" i="2"/>
  <c r="P35" i="2"/>
  <c r="N35" i="2"/>
  <c r="C35" i="2"/>
  <c r="J35" i="2" s="1"/>
  <c r="AP34" i="2"/>
  <c r="AN34" i="2"/>
  <c r="AA34" i="2"/>
  <c r="Y34" i="2"/>
  <c r="N34" i="2"/>
  <c r="U34" i="2" s="1"/>
  <c r="V34" i="2" s="1"/>
  <c r="C34" i="2"/>
  <c r="J34" i="2" s="1"/>
  <c r="AP33" i="2"/>
  <c r="AN33" i="2"/>
  <c r="AE33" i="2"/>
  <c r="AC33" i="2"/>
  <c r="AA33" i="2"/>
  <c r="Y33" i="2"/>
  <c r="N33" i="2"/>
  <c r="U33" i="2" s="1"/>
  <c r="V33" i="2" s="1"/>
  <c r="E33" i="2"/>
  <c r="C33" i="2"/>
  <c r="AN32" i="2"/>
  <c r="Y32" i="2"/>
  <c r="AJ32" i="2" s="1"/>
  <c r="AK32" i="2" s="1"/>
  <c r="N32" i="2"/>
  <c r="U32" i="2" s="1"/>
  <c r="E32" i="2"/>
  <c r="C32" i="2"/>
  <c r="AP31" i="2"/>
  <c r="AN31" i="2"/>
  <c r="AA31" i="2"/>
  <c r="Y31" i="2"/>
  <c r="N31" i="2"/>
  <c r="U31" i="2" s="1"/>
  <c r="C31" i="2"/>
  <c r="J31" i="2" s="1"/>
  <c r="AP30" i="2"/>
  <c r="AN30" i="2"/>
  <c r="AA30" i="2"/>
  <c r="Y30" i="2"/>
  <c r="AJ30" i="2" s="1"/>
  <c r="P30" i="2"/>
  <c r="N30" i="2"/>
  <c r="C30" i="2"/>
  <c r="AN29" i="2"/>
  <c r="AS29" i="2" s="1"/>
  <c r="AC29" i="2"/>
  <c r="AA29" i="2"/>
  <c r="Y29" i="2"/>
  <c r="N29" i="2"/>
  <c r="U29" i="2" s="1"/>
  <c r="C29" i="2"/>
  <c r="J29" i="2" s="1"/>
  <c r="AP28" i="2"/>
  <c r="AN28" i="2"/>
  <c r="Y28" i="2"/>
  <c r="AJ28" i="2" s="1"/>
  <c r="P28" i="2"/>
  <c r="N28" i="2"/>
  <c r="C28" i="2"/>
  <c r="AP27" i="2"/>
  <c r="AN27" i="2"/>
  <c r="Y27" i="2"/>
  <c r="AJ27" i="2" s="1"/>
  <c r="N27" i="2"/>
  <c r="U27" i="2" s="1"/>
  <c r="C27" i="2"/>
  <c r="J27" i="2" s="1"/>
  <c r="AP26" i="2"/>
  <c r="AN26" i="2"/>
  <c r="Y26" i="2"/>
  <c r="AJ26" i="2" s="1"/>
  <c r="N26" i="2"/>
  <c r="U26" i="2" s="1"/>
  <c r="E26" i="2"/>
  <c r="C26" i="2"/>
  <c r="AP25" i="2"/>
  <c r="AN25" i="2"/>
  <c r="Y25" i="2"/>
  <c r="AJ25" i="2" s="1"/>
  <c r="AK25" i="2" s="1"/>
  <c r="N25" i="2"/>
  <c r="U25" i="2" s="1"/>
  <c r="V25" i="2" s="1"/>
  <c r="E25" i="2"/>
  <c r="C25" i="2"/>
  <c r="AN24" i="2"/>
  <c r="AS24" i="2" s="1"/>
  <c r="AA24" i="2"/>
  <c r="Y24" i="2"/>
  <c r="N24" i="2"/>
  <c r="U24" i="2" s="1"/>
  <c r="C24" i="2"/>
  <c r="J24" i="2" s="1"/>
  <c r="K24" i="2" s="1"/>
  <c r="AP23" i="2"/>
  <c r="AN23" i="2"/>
  <c r="Y23" i="2"/>
  <c r="AJ23" i="2" s="1"/>
  <c r="N23" i="2"/>
  <c r="U23" i="2" s="1"/>
  <c r="C23" i="2"/>
  <c r="J23" i="2" s="1"/>
  <c r="AR18" i="2"/>
  <c r="AR17" i="2"/>
  <c r="AP4" i="2"/>
  <c r="AP6" i="2"/>
  <c r="AP7" i="2"/>
  <c r="AP8" i="2"/>
  <c r="AP9" i="2"/>
  <c r="AP11" i="2"/>
  <c r="AP12" i="2"/>
  <c r="AP13" i="2"/>
  <c r="AP14" i="2"/>
  <c r="AP15" i="2"/>
  <c r="AP17" i="2"/>
  <c r="AP18" i="2"/>
  <c r="AN5" i="2"/>
  <c r="AS5" i="2" s="1"/>
  <c r="AN6" i="2"/>
  <c r="AN7" i="2"/>
  <c r="AN8" i="2"/>
  <c r="AN9" i="2"/>
  <c r="AN10" i="2"/>
  <c r="AS10" i="2" s="1"/>
  <c r="AN11" i="2"/>
  <c r="AN12" i="2"/>
  <c r="AN13" i="2"/>
  <c r="AN14" i="2"/>
  <c r="AN15" i="2"/>
  <c r="AN16" i="2"/>
  <c r="AS16" i="2" s="1"/>
  <c r="AN17" i="2"/>
  <c r="AN18" i="2"/>
  <c r="AN4" i="2"/>
  <c r="AI14" i="2"/>
  <c r="AG14" i="2"/>
  <c r="AG10" i="2"/>
  <c r="AD16" i="2"/>
  <c r="AD15" i="2"/>
  <c r="AD14" i="2"/>
  <c r="AD12" i="2"/>
  <c r="AD11" i="2"/>
  <c r="AD10" i="2"/>
  <c r="AD5" i="2"/>
  <c r="AD4" i="2"/>
  <c r="Z18" i="2"/>
  <c r="AJ18" i="2" s="1"/>
  <c r="Z17" i="2"/>
  <c r="AJ17" i="2" s="1"/>
  <c r="Z16" i="2"/>
  <c r="Z15" i="2"/>
  <c r="Z14" i="2"/>
  <c r="Z13" i="2"/>
  <c r="AJ13" i="2" s="1"/>
  <c r="Z12" i="2"/>
  <c r="Z11" i="2"/>
  <c r="Z10" i="2"/>
  <c r="Z9" i="2"/>
  <c r="AJ9" i="2" s="1"/>
  <c r="Z8" i="2"/>
  <c r="AJ8" i="2" s="1"/>
  <c r="Z7" i="2"/>
  <c r="AJ7" i="2" s="1"/>
  <c r="Z6" i="2"/>
  <c r="AJ6" i="2" s="1"/>
  <c r="Z5" i="2"/>
  <c r="Z4" i="2"/>
  <c r="T17" i="2"/>
  <c r="R17" i="2"/>
  <c r="R16" i="2"/>
  <c r="R11" i="2"/>
  <c r="R9" i="2"/>
  <c r="O5" i="2"/>
  <c r="U5" i="2" s="1"/>
  <c r="O6" i="2"/>
  <c r="U6" i="2" s="1"/>
  <c r="O7" i="2"/>
  <c r="U7" i="2" s="1"/>
  <c r="O8" i="2"/>
  <c r="U8" i="2" s="1"/>
  <c r="O9" i="2"/>
  <c r="O10" i="2"/>
  <c r="U10" i="2" s="1"/>
  <c r="O11" i="2"/>
  <c r="O12" i="2"/>
  <c r="U12" i="2" s="1"/>
  <c r="O13" i="2"/>
  <c r="U13" i="2" s="1"/>
  <c r="O14" i="2"/>
  <c r="U14" i="2" s="1"/>
  <c r="O15" i="2"/>
  <c r="U15" i="2" s="1"/>
  <c r="O16" i="2"/>
  <c r="O17" i="2"/>
  <c r="O18" i="2"/>
  <c r="U18" i="2" s="1"/>
  <c r="O4" i="2"/>
  <c r="U4" i="2" s="1"/>
  <c r="H7" i="2"/>
  <c r="H9" i="2"/>
  <c r="H11" i="2"/>
  <c r="H13" i="2"/>
  <c r="H14" i="2"/>
  <c r="H6" i="2"/>
  <c r="D5" i="2"/>
  <c r="J5" i="2" s="1"/>
  <c r="D6" i="2"/>
  <c r="D7" i="2"/>
  <c r="D8" i="2"/>
  <c r="J8" i="2" s="1"/>
  <c r="D9" i="2"/>
  <c r="D10" i="2"/>
  <c r="J10" i="2" s="1"/>
  <c r="D11" i="2"/>
  <c r="D12" i="2"/>
  <c r="J12" i="2" s="1"/>
  <c r="D13" i="2"/>
  <c r="D14" i="2"/>
  <c r="D15" i="2"/>
  <c r="J15" i="2" s="1"/>
  <c r="D16" i="2"/>
  <c r="J16" i="2" s="1"/>
  <c r="D17" i="2"/>
  <c r="J17" i="2" s="1"/>
  <c r="D18" i="2"/>
  <c r="J18" i="2" s="1"/>
  <c r="D4" i="2"/>
  <c r="J4" i="2" s="1"/>
  <c r="V27" i="2" l="1"/>
  <c r="AK28" i="2"/>
  <c r="V37" i="2"/>
  <c r="AK27" i="2"/>
  <c r="AK37" i="2"/>
  <c r="AK23" i="2"/>
  <c r="U30" i="2"/>
  <c r="V30" i="2" s="1"/>
  <c r="AJ31" i="2"/>
  <c r="AK31" i="2" s="1"/>
  <c r="AK26" i="2"/>
  <c r="V24" i="2"/>
  <c r="V32" i="2"/>
  <c r="V23" i="2"/>
  <c r="V31" i="2"/>
  <c r="V26" i="2"/>
  <c r="V29" i="2"/>
  <c r="K27" i="2"/>
  <c r="AJ33" i="2"/>
  <c r="AJ34" i="2"/>
  <c r="K37" i="2"/>
  <c r="AJ24" i="2"/>
  <c r="AK24" i="2" s="1"/>
  <c r="K23" i="2"/>
  <c r="K31" i="2"/>
  <c r="K36" i="2"/>
  <c r="K34" i="2"/>
  <c r="K29" i="2"/>
  <c r="K35" i="2"/>
  <c r="AS23" i="2"/>
  <c r="U35" i="2"/>
  <c r="J7" i="2"/>
  <c r="AJ29" i="2"/>
  <c r="AK29" i="2" s="1"/>
  <c r="U28" i="2"/>
  <c r="P44" i="2" s="1"/>
  <c r="AJ35" i="2"/>
  <c r="U17" i="2"/>
  <c r="AJ10" i="2"/>
  <c r="AS7" i="2"/>
  <c r="U36" i="2"/>
  <c r="J26" i="2"/>
  <c r="AS17" i="2"/>
  <c r="AS12" i="2"/>
  <c r="AS28" i="2"/>
  <c r="AS18" i="2"/>
  <c r="AS9" i="2"/>
  <c r="J28" i="2"/>
  <c r="AS13" i="2"/>
  <c r="AS26" i="2"/>
  <c r="AS33" i="2"/>
  <c r="AS15" i="2"/>
  <c r="J30" i="2"/>
  <c r="AS37" i="2"/>
  <c r="AS14" i="2"/>
  <c r="AS6" i="2"/>
  <c r="AS32" i="2"/>
  <c r="AS8" i="2"/>
  <c r="AS4" i="2"/>
  <c r="AS11" i="2"/>
  <c r="AS25" i="2"/>
  <c r="J33" i="2"/>
  <c r="AJ16" i="2"/>
  <c r="U9" i="2"/>
  <c r="AJ11" i="2"/>
  <c r="AK30" i="2" s="1"/>
  <c r="J32" i="2"/>
  <c r="AS31" i="2"/>
  <c r="AS27" i="2"/>
  <c r="AP41" i="2" s="1"/>
  <c r="AS34" i="2"/>
  <c r="AS30" i="2"/>
  <c r="AS36" i="2"/>
  <c r="J25" i="2"/>
  <c r="U16" i="2"/>
  <c r="M41" i="2" s="1"/>
  <c r="AJ4" i="2"/>
  <c r="AJ12" i="2"/>
  <c r="J9" i="2"/>
  <c r="AJ5" i="2"/>
  <c r="U11" i="2"/>
  <c r="AJ14" i="2"/>
  <c r="AJ15" i="2"/>
  <c r="J6" i="2"/>
  <c r="J11" i="2"/>
  <c r="J14" i="2"/>
  <c r="J13" i="2"/>
  <c r="P40" i="2" l="1"/>
  <c r="P41" i="2"/>
  <c r="AK34" i="2"/>
  <c r="AK33" i="2"/>
  <c r="AA44" i="2"/>
  <c r="AK35" i="2"/>
  <c r="V28" i="2"/>
  <c r="P43" i="2"/>
  <c r="V36" i="2"/>
  <c r="V35" i="2"/>
  <c r="AP44" i="2"/>
  <c r="B41" i="2"/>
  <c r="E44" i="2"/>
  <c r="K25" i="2"/>
  <c r="M44" i="2"/>
  <c r="K28" i="2"/>
  <c r="P46" i="2"/>
  <c r="AA45" i="2"/>
  <c r="K33" i="2"/>
  <c r="AP46" i="2"/>
  <c r="K30" i="2"/>
  <c r="E46" i="2"/>
  <c r="K26" i="2"/>
  <c r="E40" i="2"/>
  <c r="K32" i="2"/>
  <c r="AP40" i="2"/>
  <c r="AP42" i="2"/>
  <c r="P42" i="2"/>
  <c r="AP45" i="2"/>
  <c r="E42" i="2"/>
  <c r="B42" i="2"/>
  <c r="M45" i="2"/>
  <c r="P45" i="2"/>
  <c r="E43" i="2"/>
  <c r="B40" i="2"/>
  <c r="M46" i="2"/>
  <c r="AA41" i="2"/>
  <c r="B43" i="2"/>
  <c r="AA43" i="2"/>
  <c r="E45" i="2"/>
  <c r="B44" i="2"/>
  <c r="M43" i="2"/>
  <c r="AA46" i="2"/>
  <c r="E41" i="2"/>
  <c r="B45" i="2"/>
  <c r="M42" i="2"/>
  <c r="AA42" i="2"/>
  <c r="B46" i="2"/>
  <c r="M40" i="2"/>
  <c r="AA40" i="2"/>
  <c r="AM40" i="2"/>
  <c r="AM46" i="2"/>
  <c r="AM45" i="2"/>
  <c r="AM44" i="2"/>
  <c r="AM43" i="2"/>
  <c r="AM41" i="2"/>
  <c r="AM42" i="2"/>
  <c r="X43" i="2"/>
  <c r="X42" i="2"/>
  <c r="X41" i="2"/>
  <c r="X40" i="2"/>
  <c r="X46" i="2"/>
  <c r="X45" i="2"/>
  <c r="X44" i="2"/>
  <c r="AP43" i="2"/>
  <c r="P47" i="2" l="1"/>
  <c r="AP47" i="2"/>
  <c r="E47" i="2"/>
  <c r="AA47" i="2"/>
  <c r="M47" i="2"/>
  <c r="X47" i="2"/>
  <c r="B47" i="2"/>
  <c r="AM47" i="2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27" i="1"/>
  <c r="Q28" i="1"/>
  <c r="Q29" i="1"/>
  <c r="Q30" i="1"/>
  <c r="Q31" i="1"/>
  <c r="R53" i="1" s="1"/>
  <c r="S53" i="1" s="1"/>
  <c r="Q32" i="1"/>
  <c r="Q33" i="1"/>
  <c r="Q34" i="1"/>
  <c r="Q35" i="1"/>
  <c r="Q36" i="1"/>
  <c r="Q37" i="1"/>
  <c r="Q38" i="1"/>
  <c r="Q39" i="1"/>
  <c r="R61" i="1" s="1"/>
  <c r="S61" i="1" s="1"/>
  <c r="Q40" i="1"/>
  <c r="Q41" i="1"/>
  <c r="Q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27" i="1"/>
  <c r="L41" i="1"/>
  <c r="L40" i="1"/>
  <c r="L39" i="1"/>
  <c r="L38" i="1"/>
  <c r="M60" i="1" s="1"/>
  <c r="N60" i="1" s="1"/>
  <c r="L37" i="1"/>
  <c r="L36" i="1"/>
  <c r="L35" i="1"/>
  <c r="L34" i="1"/>
  <c r="L33" i="1"/>
  <c r="L32" i="1"/>
  <c r="L31" i="1"/>
  <c r="L30" i="1"/>
  <c r="M52" i="1" s="1"/>
  <c r="N52" i="1" s="1"/>
  <c r="L29" i="1"/>
  <c r="L28" i="1"/>
  <c r="L27" i="1"/>
  <c r="G41" i="1"/>
  <c r="G40" i="1"/>
  <c r="G39" i="1"/>
  <c r="G38" i="1"/>
  <c r="G37" i="1"/>
  <c r="G36" i="1"/>
  <c r="G35" i="1"/>
  <c r="G34" i="1"/>
  <c r="H56" i="1" s="1"/>
  <c r="I56" i="1" s="1"/>
  <c r="G33" i="1"/>
  <c r="G32" i="1"/>
  <c r="G31" i="1"/>
  <c r="G30" i="1"/>
  <c r="G29" i="1"/>
  <c r="G28" i="1"/>
  <c r="G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7" i="1"/>
  <c r="R62" i="1" l="1"/>
  <c r="S62" i="1" s="1"/>
  <c r="C58" i="1"/>
  <c r="D58" i="1" s="1"/>
  <c r="C50" i="1"/>
  <c r="D50" i="1" s="1"/>
  <c r="H49" i="1"/>
  <c r="I49" i="1" s="1"/>
  <c r="H57" i="1"/>
  <c r="I57" i="1" s="1"/>
  <c r="C57" i="1"/>
  <c r="D57" i="1" s="1"/>
  <c r="M58" i="1"/>
  <c r="N58" i="1" s="1"/>
  <c r="M50" i="1"/>
  <c r="M49" i="1"/>
  <c r="N49" i="1" s="1"/>
  <c r="M51" i="1"/>
  <c r="N51" i="1" s="1"/>
  <c r="M56" i="1"/>
  <c r="N56" i="1" s="1"/>
  <c r="R60" i="1"/>
  <c r="S60" i="1" s="1"/>
  <c r="R59" i="1"/>
  <c r="S59" i="1" s="1"/>
  <c r="H54" i="1"/>
  <c r="I54" i="1" s="1"/>
  <c r="R50" i="1"/>
  <c r="S50" i="1" s="1"/>
  <c r="R58" i="1"/>
  <c r="S58" i="1" s="1"/>
  <c r="H62" i="1"/>
  <c r="I62" i="1" s="1"/>
  <c r="R52" i="1"/>
  <c r="S52" i="1" s="1"/>
  <c r="C55" i="1"/>
  <c r="D55" i="1" s="1"/>
  <c r="C63" i="1"/>
  <c r="D63" i="1" s="1"/>
  <c r="H53" i="1"/>
  <c r="I53" i="1" s="1"/>
  <c r="M55" i="1"/>
  <c r="N55" i="1" s="1"/>
  <c r="C62" i="1"/>
  <c r="D62" i="1" s="1"/>
  <c r="H61" i="1"/>
  <c r="I61" i="1" s="1"/>
  <c r="H55" i="1"/>
  <c r="I55" i="1" s="1"/>
  <c r="H50" i="1"/>
  <c r="I50" i="1" s="1"/>
  <c r="H58" i="1"/>
  <c r="I58" i="1" s="1"/>
  <c r="M59" i="1"/>
  <c r="N59" i="1" s="1"/>
  <c r="R63" i="1"/>
  <c r="S63" i="1" s="1"/>
  <c r="R55" i="1"/>
  <c r="S55" i="1" s="1"/>
  <c r="M63" i="1"/>
  <c r="N63" i="1" s="1"/>
  <c r="C49" i="1"/>
  <c r="D49" i="1" s="1"/>
  <c r="C56" i="1"/>
  <c r="D56" i="1" s="1"/>
  <c r="C54" i="1"/>
  <c r="D54" i="1" s="1"/>
  <c r="R54" i="1"/>
  <c r="S54" i="1" s="1"/>
  <c r="H63" i="1"/>
  <c r="I63" i="1" s="1"/>
  <c r="M57" i="1"/>
  <c r="N57" i="1" s="1"/>
  <c r="R51" i="1"/>
  <c r="S51" i="1" s="1"/>
  <c r="H51" i="1"/>
  <c r="I51" i="1" s="1"/>
  <c r="H52" i="1"/>
  <c r="I52" i="1" s="1"/>
  <c r="H60" i="1"/>
  <c r="I60" i="1" s="1"/>
  <c r="M53" i="1"/>
  <c r="N53" i="1" s="1"/>
  <c r="M61" i="1"/>
  <c r="N61" i="1" s="1"/>
  <c r="R49" i="1"/>
  <c r="R56" i="1"/>
  <c r="S56" i="1" s="1"/>
  <c r="C61" i="1"/>
  <c r="D61" i="1" s="1"/>
  <c r="C53" i="1"/>
  <c r="D53" i="1" s="1"/>
  <c r="M54" i="1"/>
  <c r="N54" i="1" s="1"/>
  <c r="M62" i="1"/>
  <c r="N62" i="1" s="1"/>
  <c r="R57" i="1"/>
  <c r="S57" i="1" s="1"/>
  <c r="C60" i="1"/>
  <c r="D60" i="1" s="1"/>
  <c r="C52" i="1"/>
  <c r="D52" i="1" s="1"/>
  <c r="N50" i="1"/>
  <c r="C59" i="1"/>
  <c r="D59" i="1" s="1"/>
  <c r="C51" i="1"/>
  <c r="D51" i="1" s="1"/>
  <c r="H59" i="1"/>
  <c r="I59" i="1" s="1"/>
  <c r="R42" i="1"/>
  <c r="Q42" i="1"/>
  <c r="L42" i="1"/>
  <c r="B42" i="1"/>
  <c r="C42" i="1"/>
  <c r="M42" i="1"/>
  <c r="H42" i="1"/>
  <c r="G42" i="1"/>
  <c r="I42" i="1" l="1"/>
  <c r="H64" i="1"/>
  <c r="S49" i="1"/>
  <c r="R64" i="1"/>
  <c r="C64" i="1"/>
  <c r="M64" i="1"/>
  <c r="S42" i="1"/>
  <c r="N42" i="1"/>
  <c r="D42" i="1"/>
  <c r="N64" i="1" l="1"/>
  <c r="D92" i="1" s="1"/>
  <c r="C92" i="1"/>
  <c r="D64" i="1"/>
  <c r="D90" i="1" s="1"/>
  <c r="C90" i="1"/>
  <c r="S64" i="1"/>
  <c r="D93" i="1" s="1"/>
  <c r="C93" i="1"/>
  <c r="I64" i="1"/>
  <c r="D91" i="1" s="1"/>
  <c r="C91" i="1"/>
</calcChain>
</file>

<file path=xl/sharedStrings.xml><?xml version="1.0" encoding="utf-8"?>
<sst xmlns="http://schemas.openxmlformats.org/spreadsheetml/2006/main" count="450" uniqueCount="159">
  <si>
    <t>Tree</t>
  </si>
  <si>
    <t>Weight (kg)</t>
  </si>
  <si>
    <t>Leftover</t>
  </si>
  <si>
    <t>Sub-total</t>
  </si>
  <si>
    <t>Flume 3</t>
  </si>
  <si>
    <t>Flume 4</t>
  </si>
  <si>
    <t>Flume 5</t>
  </si>
  <si>
    <t>Flume 6</t>
  </si>
  <si>
    <t>TOTAL (kg)</t>
  </si>
  <si>
    <t>1st measurement (30/04/2021)</t>
  </si>
  <si>
    <t>Branch 1 (cm)</t>
  </si>
  <si>
    <t>Branch 2 (cm)</t>
  </si>
  <si>
    <t>Branch 3 (cm)</t>
  </si>
  <si>
    <t>Branch 4 (cm)</t>
  </si>
  <si>
    <t>Tallest (m)</t>
  </si>
  <si>
    <t>Branch 1 (m)</t>
  </si>
  <si>
    <t>Branch 2 (m)</t>
  </si>
  <si>
    <t>Branch 3 (m)</t>
  </si>
  <si>
    <t>Branch 4 (m)</t>
  </si>
  <si>
    <t>Tree no.</t>
  </si>
  <si>
    <t>No. of Trees</t>
  </si>
  <si>
    <t>last measurement (30/04/2021)</t>
  </si>
  <si>
    <t>Branch 5 (cm)</t>
  </si>
  <si>
    <t>Branch 5 (m)</t>
  </si>
  <si>
    <t>Branch 6 (cm)</t>
  </si>
  <si>
    <t>Branch 6 (m)</t>
  </si>
  <si>
    <t>Size Range (cm) - Initial 3</t>
  </si>
  <si>
    <t>1.02 - 1.05</t>
  </si>
  <si>
    <t>0.99 - 1.02</t>
  </si>
  <si>
    <t>0.96 - 0.99</t>
  </si>
  <si>
    <t>0.93 - 0.96</t>
  </si>
  <si>
    <t>0.91 - 0.93</t>
  </si>
  <si>
    <t>0.88 - 0.85</t>
  </si>
  <si>
    <t>1.05 - 1.07</t>
  </si>
  <si>
    <t>Size Range (cm) - Final 3</t>
  </si>
  <si>
    <t>1.95 - 2.07</t>
  </si>
  <si>
    <t>2.07 - 2.19</t>
  </si>
  <si>
    <t>2.19 - 2.31</t>
  </si>
  <si>
    <t>2.31 - 2.43</t>
  </si>
  <si>
    <t>2.43 - 2.55</t>
  </si>
  <si>
    <t>2.55 -2.67</t>
  </si>
  <si>
    <t>2.67 - 2.79</t>
  </si>
  <si>
    <t>Final Height</t>
  </si>
  <si>
    <t>Initial Height</t>
  </si>
  <si>
    <t>2.88 - 3.18</t>
  </si>
  <si>
    <t>2.58 - 2.88</t>
  </si>
  <si>
    <t>2.28 - 2.58</t>
  </si>
  <si>
    <t>1.98 - 2.28</t>
  </si>
  <si>
    <t>1.68 - 1.98</t>
  </si>
  <si>
    <t>1.38 - 1.68</t>
  </si>
  <si>
    <t>3.18  -3.48</t>
  </si>
  <si>
    <t>2.75 - 2.62</t>
  </si>
  <si>
    <t>2.62 - 2.50</t>
  </si>
  <si>
    <t>2.50 - 2.37</t>
  </si>
  <si>
    <t>2.37 - 2.25</t>
  </si>
  <si>
    <t>2.25 - 2.12</t>
  </si>
  <si>
    <t>2.12 - 2.00</t>
  </si>
  <si>
    <t>2.00 - 1.87</t>
  </si>
  <si>
    <t>2.41 - 2.17</t>
  </si>
  <si>
    <t>2.17 - 1.92</t>
  </si>
  <si>
    <t>1.92 - 1.68</t>
  </si>
  <si>
    <t>1.68 - 1.43</t>
  </si>
  <si>
    <t>1.43 - 1.19</t>
  </si>
  <si>
    <t>1.19 - 0.94</t>
  </si>
  <si>
    <t>0.94 - 0.70</t>
  </si>
  <si>
    <t>Growth %</t>
  </si>
  <si>
    <t>Weight (g)</t>
  </si>
  <si>
    <t>Initial</t>
  </si>
  <si>
    <t>Final</t>
  </si>
  <si>
    <t>Mesocosm</t>
  </si>
  <si>
    <t>Total Biomass Gains (%)</t>
  </si>
  <si>
    <t>Total biomass Final (kg)</t>
  </si>
  <si>
    <t>Total biomass Initial (kg)</t>
  </si>
  <si>
    <t>2.53 - 2.40</t>
  </si>
  <si>
    <t>2.40 - 2.26</t>
  </si>
  <si>
    <t>2.26 - 2.13</t>
  </si>
  <si>
    <t>2.13 - 2.00</t>
  </si>
  <si>
    <t>1.87 - 1.73</t>
  </si>
  <si>
    <t>1.73 - 1.60</t>
  </si>
  <si>
    <t>1.00 - 0.96</t>
  </si>
  <si>
    <t>0.96 - 0.91</t>
  </si>
  <si>
    <t>0.91 -0.87</t>
  </si>
  <si>
    <t>0.87 - 0.83</t>
  </si>
  <si>
    <t>0.83 - 0.79</t>
  </si>
  <si>
    <t>0.79 - 0.74</t>
  </si>
  <si>
    <t>0.74 - 0.7</t>
  </si>
  <si>
    <t>1.04 - 1.01</t>
  </si>
  <si>
    <t>1.01 - 0.98</t>
  </si>
  <si>
    <t>0.98 - 0.96</t>
  </si>
  <si>
    <t>0.96 - 0.93</t>
  </si>
  <si>
    <t>0.93 - 0.90</t>
  </si>
  <si>
    <t>0.90 - 0.88</t>
  </si>
  <si>
    <t>3.46 - 3.13</t>
  </si>
  <si>
    <t>3.13 - 2.80</t>
  </si>
  <si>
    <t>2.80 - 2.47</t>
  </si>
  <si>
    <t>2.47 - 2.14</t>
  </si>
  <si>
    <t>2.14 - 1.81</t>
  </si>
  <si>
    <t>1.81 - 1.48</t>
  </si>
  <si>
    <t>1.48 - 1.15</t>
  </si>
  <si>
    <t>1.00 - 0.97</t>
  </si>
  <si>
    <t>0.97 - 0.94</t>
  </si>
  <si>
    <t>0.94 - 0.91</t>
  </si>
  <si>
    <t>0.91 - 0.89</t>
  </si>
  <si>
    <t>0.89 - 0.86</t>
  </si>
  <si>
    <t>0.86 - 0.83</t>
  </si>
  <si>
    <t>0.83 - 0.80</t>
  </si>
  <si>
    <t>2.40 - 2.20</t>
  </si>
  <si>
    <t>2.20 - 2.00</t>
  </si>
  <si>
    <t>2.00 - 1.80</t>
  </si>
  <si>
    <t>1.80 - 1.61</t>
  </si>
  <si>
    <t>1.61 - 1.41</t>
  </si>
  <si>
    <t>1.41 - 1.21</t>
  </si>
  <si>
    <t>1.21 - 1.01</t>
  </si>
  <si>
    <t>1.02 - 0.97</t>
  </si>
  <si>
    <t>0.97 - 0.92</t>
  </si>
  <si>
    <t>0.92 - 0.87</t>
  </si>
  <si>
    <t>0.87 - 0.81</t>
  </si>
  <si>
    <t>0.81 - 0.76</t>
  </si>
  <si>
    <t>0.76 - 0.71</t>
  </si>
  <si>
    <t>0.71 - 0.66</t>
  </si>
  <si>
    <t>2.30 - 2.05</t>
  </si>
  <si>
    <t>2.05 - 1.81</t>
  </si>
  <si>
    <t>1.81 - 1.56</t>
  </si>
  <si>
    <t>1.56 - 1.32</t>
  </si>
  <si>
    <t>1.07 - 0.83</t>
  </si>
  <si>
    <t>0.83 - 0.58</t>
  </si>
  <si>
    <t>1.32 - 1.07</t>
  </si>
  <si>
    <t>No. of branches</t>
  </si>
  <si>
    <t>M4 Initial  (m)</t>
  </si>
  <si>
    <t>M4 Final (m)</t>
  </si>
  <si>
    <t>M5 Initial  (m)</t>
  </si>
  <si>
    <t>M5 Final  (m)</t>
  </si>
  <si>
    <t>M6 Initial  (m)</t>
  </si>
  <si>
    <t>M6 Final  (m)</t>
  </si>
  <si>
    <t>M3 Initial</t>
  </si>
  <si>
    <t>M3 Final</t>
  </si>
  <si>
    <t>Mescocosm 3</t>
  </si>
  <si>
    <t>Tree ID</t>
  </si>
  <si>
    <t>Dry mass (g)</t>
  </si>
  <si>
    <t>Total</t>
  </si>
  <si>
    <t>Mescocosm 4</t>
  </si>
  <si>
    <t>Mescocosm 5</t>
  </si>
  <si>
    <t>Mescocosm 6</t>
  </si>
  <si>
    <t>M3 (F:D 2:1)</t>
  </si>
  <si>
    <t>M4 (steady)</t>
  </si>
  <si>
    <t>M5 (F:D 1:2)</t>
  </si>
  <si>
    <t>M6 (F:D 2:2)</t>
  </si>
  <si>
    <t>6 - 12ton/hec/year</t>
  </si>
  <si>
    <t>ton</t>
  </si>
  <si>
    <t>hec</t>
  </si>
  <si>
    <t>year</t>
  </si>
  <si>
    <t>0.6 - 1.2 kg/m2/year</t>
  </si>
  <si>
    <t>kg*hec</t>
  </si>
  <si>
    <t>ton*m2</t>
  </si>
  <si>
    <t>Area (m2)</t>
  </si>
  <si>
    <t>Gained biomass</t>
  </si>
  <si>
    <t>kg/m2/year</t>
  </si>
  <si>
    <t>Dry Biomass</t>
  </si>
  <si>
    <t>Wet Biomass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</si>
</sst>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>
      <alignment vertic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2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1" xfId="0" applyNumberFormat="1" applyBorder="1" applyAlignment="1">
      <alignment vertical="center"/>
    </xf>
    <xf numFmtId="164" fontId="3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2" fontId="0" fillId="0" borderId="0" xfId="0" applyNumberFormat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/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2" xfId="0" applyBorder="1"/>
    <xf numFmtId="0" fontId="1" fillId="0" borderId="0" xfId="0" applyFont="1" applyAlignment="1">
      <alignment wrapText="1"/>
    </xf>
    <xf numFmtId="0" fontId="0" fillId="0" borderId="1" xfId="0" applyBorder="1"/>
    <xf numFmtId="0" fontId="0" fillId="0" borderId="3" xfId="0" applyBorder="1"/>
    <xf numFmtId="0" fontId="1" fillId="0" borderId="3" xfId="0" applyFont="1" applyBorder="1" applyAlignment="1">
      <alignment vertical="center"/>
    </xf>
    <xf numFmtId="164" fontId="0" fillId="0" borderId="3" xfId="0" applyNumberFormat="1" applyBorder="1"/>
    <xf numFmtId="164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2" fillId="0" borderId="2" xfId="0" applyFont="1" applyBorder="1"/>
    <xf numFmtId="0" fontId="3" fillId="0" borderId="6" xfId="0" applyFont="1" applyBorder="1"/>
    <xf numFmtId="0" fontId="5" fillId="0" borderId="7" xfId="0" applyFont="1" applyBorder="1"/>
    <xf numFmtId="165" fontId="0" fillId="0" borderId="0" xfId="0" applyNumberFormat="1"/>
    <xf numFmtId="0" fontId="3" fillId="0" borderId="0" xfId="0" applyFont="1"/>
    <xf numFmtId="0" fontId="5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bs056\Dropbox\Documentos\University%20of%20Birmigham\Wetland%20Ecolab\Results\Biomass\Biomass%20(height-dry%20and%20wet%20biomass).xlsx" TargetMode="External"/><Relationship Id="rId1" Type="http://schemas.openxmlformats.org/officeDocument/2006/relationships/externalLinkPath" Target="Biomass%20(height-dry%20and%20wet%20biomass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bs056\Dropbox\Documentos\University%20of%20Birmigham\Wetland%20Ecolab\Results\Biomass\Leftovers%20circunference.xlsx" TargetMode="External"/><Relationship Id="rId1" Type="http://schemas.openxmlformats.org/officeDocument/2006/relationships/externalLinkPath" Target="Leftovers%20circunfer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lume3"/>
      <sheetName val="Flume4"/>
      <sheetName val="Flume5"/>
      <sheetName val="Flume6"/>
    </sheetNames>
    <sheetDataSet>
      <sheetData sheetId="0">
        <row r="3">
          <cell r="M3">
            <v>2580</v>
          </cell>
        </row>
        <row r="4">
          <cell r="M4">
            <v>1880</v>
          </cell>
        </row>
        <row r="5">
          <cell r="M5">
            <v>1780</v>
          </cell>
        </row>
        <row r="6">
          <cell r="M6">
            <v>1780</v>
          </cell>
        </row>
        <row r="7">
          <cell r="M7">
            <v>1520</v>
          </cell>
        </row>
        <row r="8">
          <cell r="M8">
            <v>2540</v>
          </cell>
        </row>
        <row r="9">
          <cell r="M9">
            <v>2300</v>
          </cell>
        </row>
        <row r="10">
          <cell r="M10">
            <v>2380</v>
          </cell>
        </row>
        <row r="11">
          <cell r="M11">
            <v>1660</v>
          </cell>
        </row>
        <row r="12">
          <cell r="M12">
            <v>2620</v>
          </cell>
        </row>
        <row r="13">
          <cell r="M13">
            <v>2060</v>
          </cell>
        </row>
        <row r="14">
          <cell r="M14">
            <v>2000</v>
          </cell>
        </row>
        <row r="15">
          <cell r="M15">
            <v>2360</v>
          </cell>
        </row>
        <row r="16">
          <cell r="M16">
            <v>1460</v>
          </cell>
        </row>
        <row r="17">
          <cell r="M17">
            <v>1700</v>
          </cell>
        </row>
      </sheetData>
      <sheetData sheetId="1">
        <row r="3">
          <cell r="O3">
            <v>1120</v>
          </cell>
        </row>
        <row r="4">
          <cell r="O4">
            <v>260</v>
          </cell>
        </row>
        <row r="5">
          <cell r="O5">
            <v>860</v>
          </cell>
        </row>
        <row r="6">
          <cell r="O6">
            <v>740</v>
          </cell>
        </row>
        <row r="7">
          <cell r="O7">
            <v>4420</v>
          </cell>
        </row>
        <row r="8">
          <cell r="O8">
            <v>4860</v>
          </cell>
        </row>
        <row r="9">
          <cell r="O9">
            <v>3020</v>
          </cell>
        </row>
        <row r="10">
          <cell r="O10">
            <v>860</v>
          </cell>
        </row>
        <row r="11">
          <cell r="O11">
            <v>1320</v>
          </cell>
        </row>
        <row r="12">
          <cell r="O12">
            <v>2680</v>
          </cell>
        </row>
        <row r="13">
          <cell r="O13">
            <v>4940</v>
          </cell>
        </row>
        <row r="14">
          <cell r="O14">
            <v>3640</v>
          </cell>
        </row>
        <row r="15">
          <cell r="O15">
            <v>3380</v>
          </cell>
        </row>
        <row r="16">
          <cell r="O16">
            <v>7340</v>
          </cell>
        </row>
        <row r="17">
          <cell r="O17">
            <v>4600</v>
          </cell>
        </row>
      </sheetData>
      <sheetData sheetId="2">
        <row r="3">
          <cell r="O3">
            <v>2380</v>
          </cell>
        </row>
        <row r="4">
          <cell r="O4">
            <v>1560</v>
          </cell>
        </row>
        <row r="5">
          <cell r="O5">
            <v>2220</v>
          </cell>
        </row>
        <row r="6">
          <cell r="O6">
            <v>1180</v>
          </cell>
        </row>
        <row r="7">
          <cell r="O7">
            <v>1340</v>
          </cell>
        </row>
        <row r="8">
          <cell r="O8">
            <v>1860</v>
          </cell>
        </row>
        <row r="9">
          <cell r="O9">
            <v>1900</v>
          </cell>
        </row>
        <row r="10">
          <cell r="O10">
            <v>1760</v>
          </cell>
        </row>
        <row r="11">
          <cell r="O11">
            <v>1540</v>
          </cell>
        </row>
        <row r="12">
          <cell r="O12">
            <v>1620</v>
          </cell>
        </row>
        <row r="13">
          <cell r="O13">
            <v>2300</v>
          </cell>
        </row>
        <row r="14">
          <cell r="O14">
            <v>1620</v>
          </cell>
        </row>
        <row r="15">
          <cell r="O15">
            <v>1700</v>
          </cell>
        </row>
        <row r="16">
          <cell r="O16">
            <v>1860</v>
          </cell>
        </row>
        <row r="17">
          <cell r="O17">
            <v>1520</v>
          </cell>
        </row>
      </sheetData>
      <sheetData sheetId="3">
        <row r="3">
          <cell r="L3">
            <v>2900</v>
          </cell>
        </row>
        <row r="4">
          <cell r="L4">
            <v>1840</v>
          </cell>
        </row>
        <row r="5">
          <cell r="L5">
            <v>3200</v>
          </cell>
        </row>
        <row r="6">
          <cell r="L6">
            <v>1940</v>
          </cell>
        </row>
        <row r="7">
          <cell r="L7">
            <v>2200</v>
          </cell>
        </row>
        <row r="8">
          <cell r="L8">
            <v>1382</v>
          </cell>
        </row>
        <row r="9">
          <cell r="L9">
            <v>2120</v>
          </cell>
        </row>
        <row r="10">
          <cell r="L10">
            <v>3160</v>
          </cell>
        </row>
        <row r="11">
          <cell r="L11">
            <v>2020</v>
          </cell>
        </row>
        <row r="12">
          <cell r="L12">
            <v>2820</v>
          </cell>
        </row>
        <row r="13">
          <cell r="L13">
            <v>2980</v>
          </cell>
        </row>
        <row r="14">
          <cell r="L14">
            <v>2120</v>
          </cell>
        </row>
        <row r="15">
          <cell r="L15">
            <v>2160</v>
          </cell>
        </row>
        <row r="16">
          <cell r="L16">
            <v>2580</v>
          </cell>
        </row>
        <row r="17">
          <cell r="L17">
            <v>1940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lume3"/>
      <sheetName val="Flume4"/>
      <sheetName val="Flume5"/>
      <sheetName val="Flume6"/>
    </sheetNames>
    <sheetDataSet>
      <sheetData sheetId="0">
        <row r="62">
          <cell r="B62">
            <v>0.16849203308661986</v>
          </cell>
          <cell r="C62"/>
          <cell r="D62"/>
          <cell r="E62"/>
          <cell r="F62"/>
          <cell r="G62"/>
          <cell r="H62"/>
          <cell r="I62"/>
          <cell r="J62"/>
        </row>
        <row r="63">
          <cell r="B63">
            <v>0.12106386004523506</v>
          </cell>
          <cell r="C63"/>
          <cell r="D63"/>
          <cell r="E63">
            <v>0.10199073166510231</v>
          </cell>
          <cell r="F63"/>
          <cell r="G63"/>
          <cell r="H63"/>
          <cell r="I63"/>
          <cell r="J63"/>
        </row>
        <row r="64">
          <cell r="B64">
            <v>0.12827888413206767</v>
          </cell>
          <cell r="C64"/>
          <cell r="D64"/>
          <cell r="E64"/>
          <cell r="F64"/>
          <cell r="G64"/>
          <cell r="H64"/>
          <cell r="I64"/>
          <cell r="J64"/>
        </row>
        <row r="65">
          <cell r="B65">
            <v>0.15412989102200725</v>
          </cell>
          <cell r="C65"/>
          <cell r="D65"/>
          <cell r="E65"/>
          <cell r="F65"/>
          <cell r="G65"/>
          <cell r="H65"/>
          <cell r="I65"/>
          <cell r="J65"/>
        </row>
        <row r="66">
          <cell r="B66">
            <v>0.1337962554925867</v>
          </cell>
          <cell r="C66"/>
          <cell r="D66"/>
          <cell r="E66"/>
          <cell r="F66"/>
          <cell r="G66"/>
          <cell r="H66"/>
          <cell r="I66"/>
          <cell r="J66"/>
        </row>
        <row r="67">
          <cell r="B67">
            <v>0.1544863980945331</v>
          </cell>
          <cell r="C67"/>
          <cell r="D67"/>
          <cell r="E67"/>
          <cell r="F67"/>
          <cell r="G67"/>
          <cell r="H67"/>
          <cell r="I67"/>
          <cell r="J67"/>
        </row>
        <row r="68">
          <cell r="B68">
            <v>0.15501691457150604</v>
          </cell>
          <cell r="C68"/>
          <cell r="D68"/>
          <cell r="E68"/>
          <cell r="F68"/>
          <cell r="G68"/>
          <cell r="H68"/>
          <cell r="I68"/>
          <cell r="J68"/>
        </row>
        <row r="69">
          <cell r="B69">
            <v>0.14556947714957114</v>
          </cell>
          <cell r="C69"/>
          <cell r="D69"/>
          <cell r="E69"/>
          <cell r="F69"/>
          <cell r="G69"/>
          <cell r="H69"/>
          <cell r="I69"/>
          <cell r="J69"/>
        </row>
        <row r="70">
          <cell r="B70">
            <v>0.12743005776891084</v>
          </cell>
          <cell r="C70"/>
          <cell r="D70"/>
          <cell r="E70"/>
          <cell r="F70"/>
          <cell r="G70"/>
          <cell r="H70"/>
          <cell r="I70"/>
          <cell r="J70"/>
        </row>
        <row r="71">
          <cell r="B71">
            <v>0.14780189048467343</v>
          </cell>
          <cell r="C71"/>
          <cell r="D71"/>
          <cell r="E71"/>
          <cell r="F71"/>
          <cell r="G71"/>
          <cell r="H71"/>
          <cell r="I71"/>
          <cell r="J71"/>
        </row>
        <row r="72">
          <cell r="B72">
            <v>0.15266566554556182</v>
          </cell>
          <cell r="C72"/>
          <cell r="D72"/>
          <cell r="E72"/>
          <cell r="F72"/>
          <cell r="G72"/>
          <cell r="H72"/>
          <cell r="I72"/>
          <cell r="J72"/>
        </row>
        <row r="73">
          <cell r="B73">
            <v>0.14048076310244634</v>
          </cell>
          <cell r="C73"/>
          <cell r="D73"/>
          <cell r="E73"/>
          <cell r="F73"/>
          <cell r="G73"/>
          <cell r="H73"/>
          <cell r="I73"/>
          <cell r="J73"/>
        </row>
        <row r="74">
          <cell r="B74">
            <v>0.14048076310244634</v>
          </cell>
          <cell r="C74"/>
          <cell r="D74"/>
          <cell r="E74"/>
          <cell r="F74"/>
          <cell r="G74"/>
          <cell r="H74"/>
          <cell r="I74"/>
          <cell r="J74"/>
        </row>
        <row r="75">
          <cell r="B75">
            <v>0.12479020777949332</v>
          </cell>
          <cell r="C75"/>
          <cell r="D75"/>
          <cell r="E75"/>
          <cell r="F75"/>
          <cell r="G75"/>
          <cell r="H75"/>
          <cell r="I75"/>
          <cell r="J75"/>
        </row>
        <row r="76">
          <cell r="B76">
            <v>0.20155806406339205</v>
          </cell>
          <cell r="C76"/>
          <cell r="D76"/>
          <cell r="E76"/>
          <cell r="F76"/>
          <cell r="G76"/>
          <cell r="H76"/>
          <cell r="I76"/>
          <cell r="J76"/>
        </row>
      </sheetData>
      <sheetData sheetId="1">
        <row r="62">
          <cell r="B62">
            <v>0.14037465980705172</v>
          </cell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/>
        </row>
        <row r="63">
          <cell r="B63">
            <v>1.5703287718400339E-2</v>
          </cell>
          <cell r="C63"/>
          <cell r="D63"/>
          <cell r="E63"/>
          <cell r="F63"/>
          <cell r="G63"/>
          <cell r="H63"/>
          <cell r="I63"/>
          <cell r="J63"/>
          <cell r="K63"/>
          <cell r="L63"/>
          <cell r="M63"/>
        </row>
        <row r="64">
          <cell r="B64">
            <v>0.10896808437025102</v>
          </cell>
          <cell r="C64"/>
          <cell r="D64"/>
          <cell r="E64"/>
          <cell r="F64"/>
          <cell r="G64"/>
          <cell r="H64"/>
          <cell r="I64"/>
          <cell r="J64"/>
          <cell r="K64"/>
          <cell r="L64"/>
          <cell r="M64"/>
        </row>
        <row r="65">
          <cell r="B65">
            <v>9.8637867530633042E-2</v>
          </cell>
          <cell r="C65"/>
          <cell r="D65"/>
          <cell r="E65"/>
          <cell r="F65"/>
          <cell r="G65"/>
          <cell r="H65"/>
          <cell r="I65"/>
          <cell r="J65"/>
          <cell r="K65"/>
          <cell r="L65"/>
          <cell r="M65"/>
        </row>
        <row r="66">
          <cell r="B66">
            <v>0.24955495076809195</v>
          </cell>
          <cell r="C66"/>
          <cell r="D66"/>
          <cell r="E66"/>
          <cell r="F66"/>
          <cell r="G66"/>
          <cell r="H66"/>
          <cell r="I66"/>
          <cell r="J66"/>
          <cell r="K66"/>
          <cell r="L66"/>
          <cell r="M66"/>
        </row>
        <row r="67">
          <cell r="B67">
            <v>0.23470048941284832</v>
          </cell>
          <cell r="C67"/>
          <cell r="D67"/>
          <cell r="E67">
            <v>0.15406198491295472</v>
          </cell>
          <cell r="F67"/>
          <cell r="G67"/>
          <cell r="H67"/>
          <cell r="I67"/>
          <cell r="J67"/>
          <cell r="K67"/>
          <cell r="L67"/>
          <cell r="M67"/>
        </row>
        <row r="68">
          <cell r="B68">
            <v>0.1613831122951819</v>
          </cell>
          <cell r="C68"/>
          <cell r="D68"/>
          <cell r="E68"/>
          <cell r="F68"/>
          <cell r="G68"/>
          <cell r="H68"/>
          <cell r="I68"/>
          <cell r="J68"/>
          <cell r="K68"/>
          <cell r="L68"/>
          <cell r="M68"/>
        </row>
        <row r="69">
          <cell r="B69">
            <v>6.510073792230886E-2</v>
          </cell>
          <cell r="C69"/>
          <cell r="D69"/>
          <cell r="E69">
            <v>7.0669038864617326E-2</v>
          </cell>
          <cell r="F69"/>
          <cell r="G69"/>
          <cell r="H69">
            <v>5.2971009192798554E-2</v>
          </cell>
          <cell r="I69"/>
          <cell r="J69"/>
          <cell r="K69">
            <v>7.5507349134610949E-2</v>
          </cell>
          <cell r="L69"/>
          <cell r="M69"/>
        </row>
        <row r="70">
          <cell r="B70">
            <v>0.12494299652486153</v>
          </cell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</row>
        <row r="71">
          <cell r="B71">
            <v>0.20392628961659945</v>
          </cell>
          <cell r="C71"/>
          <cell r="D71"/>
          <cell r="E71"/>
          <cell r="F71"/>
          <cell r="G71"/>
          <cell r="H71"/>
          <cell r="I71"/>
          <cell r="J71"/>
          <cell r="K71"/>
          <cell r="L71"/>
          <cell r="M71"/>
        </row>
        <row r="72">
          <cell r="B72">
            <v>0.2567742189867403</v>
          </cell>
          <cell r="C72"/>
          <cell r="D72"/>
          <cell r="E72"/>
          <cell r="F72"/>
          <cell r="G72"/>
          <cell r="H72"/>
          <cell r="I72"/>
          <cell r="J72"/>
          <cell r="K72"/>
          <cell r="L72"/>
          <cell r="M72"/>
        </row>
        <row r="73">
          <cell r="B73">
            <v>0.24074837725034035</v>
          </cell>
          <cell r="C73"/>
          <cell r="D73"/>
          <cell r="E73"/>
          <cell r="F73"/>
          <cell r="G73"/>
          <cell r="H73"/>
          <cell r="I73"/>
          <cell r="J73"/>
          <cell r="K73"/>
          <cell r="L73"/>
          <cell r="M73"/>
        </row>
        <row r="74">
          <cell r="B74">
            <v>0.21683693860021402</v>
          </cell>
          <cell r="C74"/>
          <cell r="D74"/>
          <cell r="E74"/>
          <cell r="F74"/>
          <cell r="G74"/>
          <cell r="H74"/>
          <cell r="I74"/>
          <cell r="J74"/>
          <cell r="K74"/>
          <cell r="L74"/>
          <cell r="M74"/>
        </row>
        <row r="75">
          <cell r="B75">
            <v>0.34691109049035829</v>
          </cell>
          <cell r="C75"/>
          <cell r="D75"/>
          <cell r="E75"/>
          <cell r="F75"/>
          <cell r="G75"/>
          <cell r="H75"/>
          <cell r="I75"/>
          <cell r="J75"/>
          <cell r="K75"/>
          <cell r="L75"/>
          <cell r="M75"/>
        </row>
        <row r="76">
          <cell r="B76">
            <v>0.21560189624182094</v>
          </cell>
          <cell r="C76"/>
          <cell r="D76"/>
          <cell r="E76"/>
          <cell r="F76"/>
          <cell r="G76"/>
          <cell r="H76"/>
          <cell r="I76"/>
          <cell r="J76"/>
          <cell r="K76"/>
          <cell r="L76"/>
          <cell r="M76"/>
        </row>
      </sheetData>
      <sheetData sheetId="2">
        <row r="60">
          <cell r="B60">
            <v>0.15406198491295472</v>
          </cell>
          <cell r="C60"/>
          <cell r="D60"/>
          <cell r="E60"/>
          <cell r="F60"/>
          <cell r="G60"/>
          <cell r="H60"/>
          <cell r="I60"/>
          <cell r="J60"/>
          <cell r="K60"/>
          <cell r="L60"/>
          <cell r="M60"/>
          <cell r="N60"/>
          <cell r="O60"/>
          <cell r="P60"/>
          <cell r="Q60"/>
          <cell r="R60"/>
          <cell r="S60"/>
        </row>
        <row r="61">
          <cell r="B61">
            <v>0.13058663080690014</v>
          </cell>
          <cell r="C61"/>
          <cell r="D61"/>
          <cell r="E61">
            <v>5.3794370765060627E-2</v>
          </cell>
          <cell r="F61"/>
          <cell r="G61"/>
          <cell r="H61"/>
          <cell r="I61"/>
          <cell r="J61"/>
          <cell r="K61"/>
          <cell r="L61"/>
          <cell r="M61"/>
          <cell r="N61"/>
          <cell r="O61"/>
          <cell r="P61"/>
          <cell r="Q61"/>
          <cell r="R61"/>
          <cell r="S61"/>
        </row>
        <row r="62">
          <cell r="B62">
            <v>0.13250603942058842</v>
          </cell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/>
          <cell r="N62"/>
          <cell r="O62"/>
          <cell r="P62"/>
          <cell r="Q62"/>
          <cell r="R62"/>
          <cell r="S62"/>
        </row>
        <row r="63">
          <cell r="B63">
            <v>0.12743005776891084</v>
          </cell>
          <cell r="C63"/>
          <cell r="D63"/>
          <cell r="E63"/>
          <cell r="F63"/>
          <cell r="G63"/>
          <cell r="H63"/>
          <cell r="I63"/>
          <cell r="J63"/>
          <cell r="K63"/>
          <cell r="L63"/>
          <cell r="M63"/>
          <cell r="N63"/>
          <cell r="O63"/>
          <cell r="P63"/>
          <cell r="Q63"/>
          <cell r="R63"/>
          <cell r="S63"/>
        </row>
        <row r="64">
          <cell r="B64">
            <v>0.12007073320034164</v>
          </cell>
          <cell r="C64"/>
          <cell r="D64"/>
          <cell r="E64"/>
          <cell r="F64"/>
          <cell r="G64"/>
          <cell r="H64"/>
          <cell r="I64"/>
          <cell r="J64"/>
          <cell r="K64"/>
          <cell r="L64"/>
          <cell r="M64"/>
          <cell r="N64"/>
          <cell r="O64"/>
          <cell r="P64"/>
          <cell r="Q64"/>
          <cell r="R64"/>
          <cell r="S64"/>
        </row>
        <row r="65">
          <cell r="B65">
            <v>0.1337962554925867</v>
          </cell>
          <cell r="C65"/>
          <cell r="D65"/>
          <cell r="E65"/>
          <cell r="F65"/>
          <cell r="G65"/>
          <cell r="H65"/>
          <cell r="I65"/>
          <cell r="J65"/>
          <cell r="K65"/>
          <cell r="L65"/>
          <cell r="M65"/>
          <cell r="N65"/>
          <cell r="O65"/>
          <cell r="P65"/>
          <cell r="Q65"/>
          <cell r="R65"/>
          <cell r="S65"/>
        </row>
        <row r="66">
          <cell r="B66">
            <v>0.15416808820834929</v>
          </cell>
          <cell r="C66"/>
          <cell r="D66"/>
          <cell r="E66"/>
          <cell r="F66"/>
          <cell r="G66"/>
          <cell r="H66"/>
          <cell r="I66"/>
          <cell r="J66"/>
          <cell r="K66"/>
          <cell r="L66"/>
          <cell r="M66"/>
          <cell r="N66"/>
          <cell r="O66"/>
          <cell r="P66"/>
          <cell r="Q66"/>
          <cell r="R66"/>
          <cell r="S66"/>
        </row>
        <row r="67">
          <cell r="B67">
            <v>7.6500475979504365E-2</v>
          </cell>
          <cell r="C67"/>
          <cell r="D67"/>
          <cell r="E67">
            <v>9.7508928467634551E-2</v>
          </cell>
          <cell r="F67"/>
          <cell r="G67"/>
          <cell r="H67"/>
          <cell r="I67"/>
          <cell r="J67"/>
          <cell r="K67"/>
          <cell r="L67"/>
          <cell r="M67"/>
          <cell r="N67"/>
          <cell r="O67"/>
          <cell r="P67"/>
          <cell r="Q67"/>
          <cell r="R67"/>
          <cell r="S67"/>
        </row>
        <row r="68">
          <cell r="B68">
            <v>5.4626220600954262E-2</v>
          </cell>
          <cell r="C68"/>
          <cell r="D68"/>
          <cell r="E68">
            <v>8.2518654894285892E-2</v>
          </cell>
          <cell r="F68"/>
          <cell r="G68"/>
          <cell r="H68">
            <v>5.2156135884168044E-2</v>
          </cell>
          <cell r="I68"/>
          <cell r="J68"/>
          <cell r="K68">
            <v>5.2971009192798554E-2</v>
          </cell>
          <cell r="L68"/>
          <cell r="M68"/>
          <cell r="N68">
            <v>5.801303778994979E-2</v>
          </cell>
          <cell r="O68"/>
          <cell r="P68"/>
          <cell r="Q68">
            <v>6.7850935338936824E-2</v>
          </cell>
          <cell r="R68"/>
          <cell r="S68"/>
        </row>
        <row r="69">
          <cell r="B69">
            <v>0.14048076310244634</v>
          </cell>
          <cell r="C69"/>
          <cell r="D69"/>
          <cell r="E69"/>
          <cell r="F69"/>
          <cell r="G69"/>
          <cell r="H69"/>
          <cell r="I69"/>
          <cell r="J69"/>
          <cell r="K69"/>
          <cell r="L69"/>
          <cell r="M69"/>
          <cell r="N69"/>
          <cell r="O69"/>
          <cell r="P69"/>
          <cell r="Q69"/>
          <cell r="R69"/>
          <cell r="S69"/>
        </row>
        <row r="70">
          <cell r="B70">
            <v>7.6500475979504365E-2</v>
          </cell>
          <cell r="C70"/>
          <cell r="D70"/>
          <cell r="E70">
            <v>6.7867911866199948E-2</v>
          </cell>
          <cell r="F70"/>
          <cell r="G70"/>
          <cell r="H70">
            <v>7.9462879986921517E-2</v>
          </cell>
          <cell r="I70"/>
          <cell r="J70"/>
          <cell r="K70">
            <v>0.10199073166510231</v>
          </cell>
          <cell r="L70"/>
          <cell r="M70"/>
          <cell r="N70"/>
          <cell r="O70"/>
          <cell r="P70"/>
          <cell r="Q70"/>
          <cell r="R70"/>
          <cell r="S70"/>
        </row>
        <row r="71">
          <cell r="B71">
            <v>0.16341180730312657</v>
          </cell>
          <cell r="C71"/>
          <cell r="D71"/>
          <cell r="E71"/>
          <cell r="F71"/>
          <cell r="G71"/>
          <cell r="H71"/>
          <cell r="I71"/>
          <cell r="J71"/>
          <cell r="K71"/>
          <cell r="L71"/>
          <cell r="M71"/>
          <cell r="N71"/>
          <cell r="O71"/>
          <cell r="P71"/>
          <cell r="Q71"/>
          <cell r="R71"/>
          <cell r="S71"/>
        </row>
        <row r="72">
          <cell r="B72">
            <v>0.14737747730309511</v>
          </cell>
          <cell r="C72"/>
          <cell r="D72"/>
          <cell r="E72"/>
          <cell r="F72"/>
          <cell r="G72"/>
          <cell r="H72"/>
          <cell r="I72"/>
          <cell r="J72"/>
          <cell r="K72"/>
          <cell r="L72"/>
          <cell r="M72"/>
          <cell r="N72"/>
          <cell r="O72"/>
          <cell r="P72"/>
          <cell r="Q72"/>
          <cell r="R72"/>
          <cell r="S72"/>
        </row>
        <row r="73">
          <cell r="B73">
            <v>0.13400846208337588</v>
          </cell>
          <cell r="C73"/>
          <cell r="D73"/>
          <cell r="E73"/>
          <cell r="F73"/>
          <cell r="G73"/>
          <cell r="H73"/>
          <cell r="I73"/>
          <cell r="J73"/>
          <cell r="K73"/>
          <cell r="L73"/>
          <cell r="M73"/>
          <cell r="N73"/>
          <cell r="O73"/>
          <cell r="P73"/>
          <cell r="Q73"/>
          <cell r="R73"/>
          <cell r="S73"/>
        </row>
        <row r="74">
          <cell r="B74">
            <v>0.13786637790392345</v>
          </cell>
          <cell r="C74"/>
          <cell r="D74"/>
          <cell r="E74"/>
          <cell r="F74"/>
          <cell r="G74"/>
          <cell r="H74"/>
          <cell r="I74"/>
          <cell r="J74"/>
          <cell r="K74"/>
          <cell r="L74"/>
          <cell r="M74"/>
          <cell r="N74"/>
          <cell r="O74"/>
          <cell r="P74"/>
          <cell r="Q74"/>
          <cell r="R74"/>
          <cell r="S74"/>
        </row>
      </sheetData>
      <sheetData sheetId="3">
        <row r="61">
          <cell r="B61">
            <v>0.12774836765509467</v>
          </cell>
          <cell r="C61"/>
          <cell r="D61"/>
          <cell r="E61">
            <v>8.6686392337385662E-2</v>
          </cell>
          <cell r="F61"/>
          <cell r="G61"/>
          <cell r="H61">
            <v>4.9351825786888855E-2</v>
          </cell>
          <cell r="I61"/>
          <cell r="J61"/>
        </row>
        <row r="62">
          <cell r="B62">
            <v>7.7480870428950438E-2</v>
          </cell>
          <cell r="C62"/>
          <cell r="D62"/>
          <cell r="E62">
            <v>8.8782993454382883E-2</v>
          </cell>
          <cell r="F62"/>
          <cell r="G62"/>
          <cell r="H62">
            <v>6.2388737692022987E-2</v>
          </cell>
          <cell r="I62"/>
          <cell r="J62"/>
        </row>
        <row r="63">
          <cell r="B63">
            <v>0.12104688351797192</v>
          </cell>
          <cell r="C63"/>
          <cell r="D63"/>
          <cell r="E63">
            <v>0.12106386004523506</v>
          </cell>
          <cell r="F63"/>
          <cell r="G63"/>
          <cell r="H63"/>
          <cell r="I63"/>
          <cell r="J63"/>
        </row>
        <row r="64">
          <cell r="B64">
            <v>0.12872876210454073</v>
          </cell>
          <cell r="C64"/>
          <cell r="D64"/>
          <cell r="E64">
            <v>9.7508928467634551E-2</v>
          </cell>
          <cell r="F64"/>
          <cell r="G64"/>
          <cell r="H64"/>
          <cell r="I64"/>
          <cell r="J64"/>
        </row>
        <row r="65">
          <cell r="B65">
            <v>0.10106126679744565</v>
          </cell>
          <cell r="C65"/>
          <cell r="D65"/>
          <cell r="E65">
            <v>0.10204166124689174</v>
          </cell>
          <cell r="F65"/>
          <cell r="G65"/>
          <cell r="H65"/>
          <cell r="I65"/>
          <cell r="J65"/>
        </row>
        <row r="66">
          <cell r="B66">
            <v>8.5123490796223264E-2</v>
          </cell>
          <cell r="C66"/>
          <cell r="D66"/>
          <cell r="E66">
            <v>7.6500475979504365E-2</v>
          </cell>
          <cell r="F66"/>
          <cell r="G66"/>
          <cell r="H66"/>
          <cell r="I66"/>
          <cell r="J66"/>
        </row>
        <row r="67">
          <cell r="B67">
            <v>0.12494299652486153</v>
          </cell>
          <cell r="C67"/>
          <cell r="D67"/>
          <cell r="E67">
            <v>6.0618934724841117E-2</v>
          </cell>
          <cell r="F67"/>
          <cell r="G67"/>
          <cell r="H67"/>
          <cell r="I67"/>
          <cell r="J67"/>
        </row>
        <row r="68">
          <cell r="B68">
            <v>0.18349928318723169</v>
          </cell>
          <cell r="C68"/>
          <cell r="D68"/>
          <cell r="E68"/>
          <cell r="F68"/>
          <cell r="G68"/>
          <cell r="H68"/>
          <cell r="I68"/>
          <cell r="J68"/>
        </row>
        <row r="69">
          <cell r="B69">
            <v>9.7721135058423753E-2</v>
          </cell>
          <cell r="C69"/>
          <cell r="D69"/>
          <cell r="E69">
            <v>5.5462314568663677E-2</v>
          </cell>
          <cell r="F69"/>
          <cell r="G69"/>
          <cell r="H69">
            <v>7.6500475979504365E-2</v>
          </cell>
          <cell r="I69"/>
          <cell r="J69"/>
        </row>
        <row r="70">
          <cell r="B70">
            <v>0.11869563449202765</v>
          </cell>
          <cell r="C70"/>
          <cell r="D70"/>
          <cell r="E70"/>
          <cell r="F70"/>
          <cell r="G70"/>
          <cell r="H70"/>
          <cell r="I70"/>
          <cell r="J70"/>
        </row>
        <row r="71">
          <cell r="B71">
            <v>7.1725827686747512E-2</v>
          </cell>
          <cell r="C71"/>
          <cell r="D71"/>
          <cell r="E71">
            <v>6.1501714142524172E-2</v>
          </cell>
          <cell r="F71"/>
          <cell r="G71"/>
          <cell r="H71"/>
          <cell r="I71"/>
          <cell r="J71"/>
        </row>
        <row r="72">
          <cell r="B72">
            <v>7.1657921577694961E-2</v>
          </cell>
          <cell r="C72"/>
          <cell r="D72"/>
          <cell r="E72">
            <v>5.3098333147272074E-2</v>
          </cell>
          <cell r="F72"/>
          <cell r="G72"/>
          <cell r="H72"/>
          <cell r="I72"/>
          <cell r="J72"/>
        </row>
        <row r="73">
          <cell r="B73">
            <v>8.6898598928174864E-2</v>
          </cell>
          <cell r="C73"/>
          <cell r="D73"/>
          <cell r="E73"/>
          <cell r="F73"/>
          <cell r="G73"/>
          <cell r="H73"/>
          <cell r="I73"/>
          <cell r="J73"/>
        </row>
        <row r="74">
          <cell r="B74">
            <v>0.11861924011934356</v>
          </cell>
          <cell r="C74"/>
          <cell r="D74"/>
          <cell r="E74"/>
          <cell r="F74"/>
          <cell r="G74"/>
          <cell r="H74"/>
          <cell r="I74"/>
          <cell r="J74"/>
        </row>
        <row r="75">
          <cell r="B75">
            <v>5.6315385063636238E-2</v>
          </cell>
          <cell r="C75"/>
          <cell r="D75"/>
          <cell r="E75">
            <v>3.4466594475980862E-2</v>
          </cell>
          <cell r="F75"/>
          <cell r="G75"/>
          <cell r="H75">
            <v>3.5120190775611584E-2</v>
          </cell>
          <cell r="I75"/>
          <cell r="J75"/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FD78E-28DD-414C-A67A-E44F26DABD3A}">
  <dimension ref="A1:S109"/>
  <sheetViews>
    <sheetView topLeftCell="A67" workbookViewId="0">
      <selection activeCell="E111" sqref="E111"/>
    </sheetView>
  </sheetViews>
  <sheetFormatPr defaultRowHeight="15" x14ac:dyDescent="0.25"/>
  <cols>
    <col min="2" max="10" width="15.28515625" bestFit="1" customWidth="1"/>
    <col min="12" max="14" width="15.28515625" bestFit="1" customWidth="1"/>
    <col min="17" max="19" width="15.28515625" bestFit="1" customWidth="1"/>
  </cols>
  <sheetData>
    <row r="1" spans="1:19" x14ac:dyDescent="0.25">
      <c r="A1" s="44" t="s">
        <v>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9" x14ac:dyDescent="0.25">
      <c r="A2" s="41" t="s">
        <v>4</v>
      </c>
      <c r="B2" s="41"/>
      <c r="C2" s="42"/>
      <c r="F2" s="41" t="s">
        <v>5</v>
      </c>
      <c r="G2" s="41"/>
      <c r="H2" s="42"/>
      <c r="K2" s="41" t="s">
        <v>6</v>
      </c>
      <c r="L2" s="41"/>
      <c r="M2" s="42"/>
      <c r="P2" s="41" t="s">
        <v>7</v>
      </c>
      <c r="Q2" s="41"/>
      <c r="R2" s="42"/>
    </row>
    <row r="3" spans="1:19" x14ac:dyDescent="0.25">
      <c r="A3" s="2"/>
      <c r="B3" s="8" t="s">
        <v>0</v>
      </c>
      <c r="C3" s="9"/>
      <c r="F3" s="2"/>
      <c r="G3" s="8" t="s">
        <v>0</v>
      </c>
      <c r="H3" s="9"/>
      <c r="K3" s="2"/>
      <c r="L3" s="8" t="s">
        <v>0</v>
      </c>
      <c r="M3" s="9"/>
      <c r="P3" s="2"/>
      <c r="Q3" s="8" t="s">
        <v>0</v>
      </c>
      <c r="R3" s="9"/>
    </row>
    <row r="4" spans="1:19" x14ac:dyDescent="0.25">
      <c r="A4" s="10" t="s">
        <v>0</v>
      </c>
      <c r="B4" s="10" t="s">
        <v>66</v>
      </c>
      <c r="C4" s="12" t="s">
        <v>1</v>
      </c>
      <c r="F4" s="10" t="s">
        <v>0</v>
      </c>
      <c r="G4" s="10" t="s">
        <v>66</v>
      </c>
      <c r="H4" s="12" t="s">
        <v>1</v>
      </c>
      <c r="K4" s="10" t="s">
        <v>0</v>
      </c>
      <c r="L4" s="10" t="s">
        <v>1</v>
      </c>
      <c r="M4" s="12" t="s">
        <v>1</v>
      </c>
      <c r="P4" s="10" t="s">
        <v>0</v>
      </c>
      <c r="Q4" s="10" t="s">
        <v>1</v>
      </c>
      <c r="R4" s="12" t="s">
        <v>1</v>
      </c>
    </row>
    <row r="5" spans="1:19" x14ac:dyDescent="0.25">
      <c r="A5" s="1">
        <v>61</v>
      </c>
      <c r="B5" s="6">
        <v>65.400000000000006</v>
      </c>
      <c r="C5" s="12">
        <f>0.001*B5</f>
        <v>6.5400000000000014E-2</v>
      </c>
      <c r="D5" s="4"/>
      <c r="E5" s="4"/>
      <c r="F5" s="1">
        <v>46</v>
      </c>
      <c r="G5" s="6">
        <v>73.3</v>
      </c>
      <c r="H5" s="12">
        <f>0.001*G5</f>
        <v>7.3300000000000004E-2</v>
      </c>
      <c r="I5" s="4"/>
      <c r="J5" s="4"/>
      <c r="K5" s="1">
        <v>31</v>
      </c>
      <c r="L5" s="6">
        <v>64.2</v>
      </c>
      <c r="M5" s="12">
        <f>0.001*L5</f>
        <v>6.4200000000000007E-2</v>
      </c>
      <c r="N5" s="4"/>
      <c r="P5" s="1">
        <v>16</v>
      </c>
      <c r="Q5" s="6">
        <v>53.3</v>
      </c>
      <c r="R5" s="12">
        <f>0.001*Q5</f>
        <v>5.33E-2</v>
      </c>
      <c r="S5" s="4"/>
    </row>
    <row r="6" spans="1:19" x14ac:dyDescent="0.25">
      <c r="A6" s="1">
        <v>60</v>
      </c>
      <c r="B6" s="6">
        <v>55.7</v>
      </c>
      <c r="C6" s="12">
        <f t="shared" ref="C6:C19" si="0">0.001*B6</f>
        <v>5.5700000000000006E-2</v>
      </c>
      <c r="D6" s="3"/>
      <c r="E6" s="3"/>
      <c r="F6" s="1">
        <v>45</v>
      </c>
      <c r="G6" s="6">
        <v>78</v>
      </c>
      <c r="H6" s="12">
        <f t="shared" ref="H6:H19" si="1">0.001*G6</f>
        <v>7.8E-2</v>
      </c>
      <c r="I6" s="3"/>
      <c r="J6" s="3"/>
      <c r="K6" s="1">
        <v>30</v>
      </c>
      <c r="L6" s="6">
        <v>127.1</v>
      </c>
      <c r="M6" s="12">
        <f t="shared" ref="M6:M19" si="2">0.001*L6</f>
        <v>0.12709999999999999</v>
      </c>
      <c r="N6" s="3"/>
      <c r="P6" s="1">
        <v>15</v>
      </c>
      <c r="Q6" s="6">
        <v>58</v>
      </c>
      <c r="R6" s="12">
        <f t="shared" ref="R6:R19" si="3">0.001*Q6</f>
        <v>5.8000000000000003E-2</v>
      </c>
      <c r="S6" s="3"/>
    </row>
    <row r="7" spans="1:19" x14ac:dyDescent="0.25">
      <c r="A7" s="1">
        <v>59</v>
      </c>
      <c r="B7" s="6">
        <v>40.799999999999997</v>
      </c>
      <c r="C7" s="12">
        <f t="shared" si="0"/>
        <v>4.0799999999999996E-2</v>
      </c>
      <c r="D7" s="3"/>
      <c r="E7" s="3"/>
      <c r="F7" s="1">
        <v>44</v>
      </c>
      <c r="G7" s="6">
        <v>96.3</v>
      </c>
      <c r="H7" s="12">
        <f t="shared" si="1"/>
        <v>9.6299999999999997E-2</v>
      </c>
      <c r="I7" s="3"/>
      <c r="J7" s="3"/>
      <c r="K7" s="1">
        <v>29</v>
      </c>
      <c r="L7" s="6">
        <v>168.1</v>
      </c>
      <c r="M7" s="12">
        <f t="shared" si="2"/>
        <v>0.1681</v>
      </c>
      <c r="N7" s="3"/>
      <c r="P7" s="1">
        <v>14</v>
      </c>
      <c r="Q7" s="6">
        <v>87</v>
      </c>
      <c r="R7" s="12">
        <f t="shared" si="3"/>
        <v>8.7000000000000008E-2</v>
      </c>
      <c r="S7" s="3"/>
    </row>
    <row r="8" spans="1:19" x14ac:dyDescent="0.25">
      <c r="A8" s="1">
        <v>58</v>
      </c>
      <c r="B8" s="6">
        <v>91.6</v>
      </c>
      <c r="C8" s="12">
        <f t="shared" si="0"/>
        <v>9.1600000000000001E-2</v>
      </c>
      <c r="D8" s="3"/>
      <c r="E8" s="3"/>
      <c r="F8" s="1">
        <v>43</v>
      </c>
      <c r="G8" s="6">
        <v>71.8</v>
      </c>
      <c r="H8" s="12">
        <f t="shared" si="1"/>
        <v>7.1800000000000003E-2</v>
      </c>
      <c r="I8" s="3"/>
      <c r="J8" s="3"/>
      <c r="K8" s="1">
        <v>28</v>
      </c>
      <c r="L8" s="6">
        <v>96.1</v>
      </c>
      <c r="M8" s="12">
        <f t="shared" si="2"/>
        <v>9.6099999999999991E-2</v>
      </c>
      <c r="N8" s="3"/>
      <c r="P8" s="1">
        <v>12</v>
      </c>
      <c r="Q8" s="6">
        <v>78.599999999999994</v>
      </c>
      <c r="R8" s="12">
        <f t="shared" si="3"/>
        <v>7.8599999999999989E-2</v>
      </c>
      <c r="S8" s="3"/>
    </row>
    <row r="9" spans="1:19" x14ac:dyDescent="0.25">
      <c r="A9" s="1">
        <v>57</v>
      </c>
      <c r="B9" s="6">
        <v>98.9</v>
      </c>
      <c r="C9" s="12">
        <f t="shared" si="0"/>
        <v>9.8900000000000002E-2</v>
      </c>
      <c r="D9" s="3"/>
      <c r="E9" s="3"/>
      <c r="F9" s="1">
        <v>42</v>
      </c>
      <c r="G9" s="6">
        <v>120.5</v>
      </c>
      <c r="H9" s="12">
        <f t="shared" si="1"/>
        <v>0.1205</v>
      </c>
      <c r="I9" s="3"/>
      <c r="J9" s="3"/>
      <c r="K9" s="1">
        <v>27</v>
      </c>
      <c r="L9" s="6">
        <v>75.8</v>
      </c>
      <c r="M9" s="12">
        <f t="shared" si="2"/>
        <v>7.5799999999999992E-2</v>
      </c>
      <c r="N9" s="3"/>
      <c r="P9" s="1">
        <v>11</v>
      </c>
      <c r="Q9" s="6">
        <v>170.1</v>
      </c>
      <c r="R9" s="12">
        <f t="shared" si="3"/>
        <v>0.1701</v>
      </c>
      <c r="S9" s="3"/>
    </row>
    <row r="10" spans="1:19" x14ac:dyDescent="0.25">
      <c r="A10" s="1">
        <v>56</v>
      </c>
      <c r="B10" s="6">
        <v>101.3</v>
      </c>
      <c r="C10" s="12">
        <f t="shared" si="0"/>
        <v>0.1013</v>
      </c>
      <c r="D10" s="3"/>
      <c r="E10" s="3"/>
      <c r="F10" s="1">
        <v>41</v>
      </c>
      <c r="G10" s="6">
        <v>133</v>
      </c>
      <c r="H10" s="12">
        <f t="shared" si="1"/>
        <v>0.13300000000000001</v>
      </c>
      <c r="I10" s="3"/>
      <c r="J10" s="3"/>
      <c r="K10" s="1">
        <v>26</v>
      </c>
      <c r="L10" s="6">
        <v>77</v>
      </c>
      <c r="M10" s="12">
        <f t="shared" si="2"/>
        <v>7.6999999999999999E-2</v>
      </c>
      <c r="N10" s="3"/>
      <c r="P10" s="1">
        <v>10</v>
      </c>
      <c r="Q10" s="6">
        <v>148.1</v>
      </c>
      <c r="R10" s="12">
        <f t="shared" si="3"/>
        <v>0.14810000000000001</v>
      </c>
      <c r="S10" s="3"/>
    </row>
    <row r="11" spans="1:19" x14ac:dyDescent="0.25">
      <c r="A11" s="1">
        <v>55</v>
      </c>
      <c r="B11" s="6">
        <v>37.6</v>
      </c>
      <c r="C11" s="12">
        <f t="shared" si="0"/>
        <v>3.7600000000000001E-2</v>
      </c>
      <c r="D11" s="3"/>
      <c r="E11" s="3"/>
      <c r="F11" s="1">
        <v>40</v>
      </c>
      <c r="G11" s="6">
        <v>118.5</v>
      </c>
      <c r="H11" s="12">
        <f t="shared" si="1"/>
        <v>0.11850000000000001</v>
      </c>
      <c r="I11" s="3"/>
      <c r="J11" s="3"/>
      <c r="K11" s="1">
        <v>25</v>
      </c>
      <c r="L11" s="6">
        <v>158</v>
      </c>
      <c r="M11" s="12">
        <f t="shared" si="2"/>
        <v>0.158</v>
      </c>
      <c r="N11" s="3"/>
      <c r="P11" s="1">
        <v>9</v>
      </c>
      <c r="Q11" s="6">
        <v>76.099999999999994</v>
      </c>
      <c r="R11" s="12">
        <f t="shared" si="3"/>
        <v>7.6100000000000001E-2</v>
      </c>
      <c r="S11" s="3"/>
    </row>
    <row r="12" spans="1:19" x14ac:dyDescent="0.25">
      <c r="A12" s="1">
        <v>54</v>
      </c>
      <c r="B12" s="6">
        <v>131.30000000000001</v>
      </c>
      <c r="C12" s="12">
        <f t="shared" si="0"/>
        <v>0.13130000000000003</v>
      </c>
      <c r="D12" s="3"/>
      <c r="E12" s="3"/>
      <c r="F12" s="1">
        <v>39</v>
      </c>
      <c r="G12" s="6">
        <v>59.5</v>
      </c>
      <c r="H12" s="12">
        <f t="shared" si="1"/>
        <v>5.9500000000000004E-2</v>
      </c>
      <c r="I12" s="3"/>
      <c r="J12" s="3"/>
      <c r="K12" s="1">
        <v>24</v>
      </c>
      <c r="L12" s="6">
        <v>92.7</v>
      </c>
      <c r="M12" s="12">
        <f t="shared" si="2"/>
        <v>9.2700000000000005E-2</v>
      </c>
      <c r="N12" s="3"/>
      <c r="P12" s="1">
        <v>8</v>
      </c>
      <c r="Q12" s="6">
        <v>78.400000000000006</v>
      </c>
      <c r="R12" s="12">
        <f t="shared" si="3"/>
        <v>7.8400000000000011E-2</v>
      </c>
      <c r="S12" s="3"/>
    </row>
    <row r="13" spans="1:19" x14ac:dyDescent="0.25">
      <c r="A13" s="1">
        <v>53</v>
      </c>
      <c r="B13" s="6">
        <v>27.3</v>
      </c>
      <c r="C13" s="12">
        <f t="shared" si="0"/>
        <v>2.7300000000000001E-2</v>
      </c>
      <c r="D13" s="3"/>
      <c r="E13" s="3"/>
      <c r="F13" s="1">
        <v>38</v>
      </c>
      <c r="G13" s="6">
        <v>51.6</v>
      </c>
      <c r="H13" s="12">
        <f t="shared" si="1"/>
        <v>5.16E-2</v>
      </c>
      <c r="I13" s="3"/>
      <c r="J13" s="3"/>
      <c r="K13" s="1">
        <v>23</v>
      </c>
      <c r="L13" s="6">
        <v>85.4</v>
      </c>
      <c r="M13" s="12">
        <f t="shared" si="2"/>
        <v>8.5400000000000004E-2</v>
      </c>
      <c r="N13" s="3"/>
      <c r="P13" s="1">
        <v>7</v>
      </c>
      <c r="Q13" s="6">
        <v>36.1</v>
      </c>
      <c r="R13" s="12">
        <f t="shared" si="3"/>
        <v>3.61E-2</v>
      </c>
      <c r="S13" s="3"/>
    </row>
    <row r="14" spans="1:19" x14ac:dyDescent="0.25">
      <c r="A14" s="1">
        <v>52</v>
      </c>
      <c r="B14" s="6">
        <v>169</v>
      </c>
      <c r="C14" s="12">
        <f t="shared" si="0"/>
        <v>0.16900000000000001</v>
      </c>
      <c r="D14" s="3"/>
      <c r="E14" s="3"/>
      <c r="F14" s="1">
        <v>37</v>
      </c>
      <c r="G14" s="6">
        <v>48.2</v>
      </c>
      <c r="H14" s="12">
        <f t="shared" si="1"/>
        <v>4.8200000000000007E-2</v>
      </c>
      <c r="I14" s="3"/>
      <c r="J14" s="3"/>
      <c r="K14" s="1">
        <v>22</v>
      </c>
      <c r="L14" s="6">
        <v>66</v>
      </c>
      <c r="M14" s="12">
        <f t="shared" si="2"/>
        <v>6.6000000000000003E-2</v>
      </c>
      <c r="N14" s="3"/>
      <c r="P14" s="1">
        <v>6</v>
      </c>
      <c r="Q14" s="6">
        <v>169.3</v>
      </c>
      <c r="R14" s="12">
        <f t="shared" si="3"/>
        <v>0.16930000000000001</v>
      </c>
      <c r="S14" s="3"/>
    </row>
    <row r="15" spans="1:19" x14ac:dyDescent="0.25">
      <c r="A15" s="1">
        <v>51</v>
      </c>
      <c r="B15" s="6">
        <v>114.5</v>
      </c>
      <c r="C15" s="12">
        <f t="shared" si="0"/>
        <v>0.1145</v>
      </c>
      <c r="D15" s="3"/>
      <c r="E15" s="3"/>
      <c r="F15" s="1">
        <v>36</v>
      </c>
      <c r="G15" s="6">
        <v>60.4</v>
      </c>
      <c r="H15" s="12">
        <f>0.001*G15</f>
        <v>6.0400000000000002E-2</v>
      </c>
      <c r="I15" s="3"/>
      <c r="J15" s="3"/>
      <c r="K15" s="1">
        <v>21</v>
      </c>
      <c r="L15" s="6">
        <v>166.7</v>
      </c>
      <c r="M15" s="12">
        <f>0.001*L15</f>
        <v>0.16669999999999999</v>
      </c>
      <c r="N15" s="3"/>
      <c r="P15" s="1">
        <v>5</v>
      </c>
      <c r="Q15" s="6">
        <v>71.599999999999994</v>
      </c>
      <c r="R15" s="12">
        <f>0.001*Q15</f>
        <v>7.1599999999999997E-2</v>
      </c>
      <c r="S15" s="3"/>
    </row>
    <row r="16" spans="1:19" x14ac:dyDescent="0.25">
      <c r="A16" s="1">
        <v>50</v>
      </c>
      <c r="B16" s="6">
        <v>65.599999999999994</v>
      </c>
      <c r="C16" s="12">
        <f t="shared" si="0"/>
        <v>6.5599999999999992E-2</v>
      </c>
      <c r="D16" s="3"/>
      <c r="E16" s="3"/>
      <c r="F16" s="1">
        <v>35</v>
      </c>
      <c r="G16" s="6">
        <v>60.8</v>
      </c>
      <c r="H16" s="12">
        <f t="shared" si="1"/>
        <v>6.08E-2</v>
      </c>
      <c r="I16" s="3"/>
      <c r="J16" s="3"/>
      <c r="K16" s="1">
        <v>20</v>
      </c>
      <c r="L16" s="6">
        <v>45.7</v>
      </c>
      <c r="M16" s="12">
        <f t="shared" si="2"/>
        <v>4.5700000000000005E-2</v>
      </c>
      <c r="N16" s="3"/>
      <c r="P16" s="1">
        <v>4</v>
      </c>
      <c r="Q16" s="6">
        <v>112.6</v>
      </c>
      <c r="R16" s="12">
        <f t="shared" si="3"/>
        <v>0.11259999999999999</v>
      </c>
      <c r="S16" s="3"/>
    </row>
    <row r="17" spans="1:19" x14ac:dyDescent="0.25">
      <c r="A17" s="1">
        <v>49</v>
      </c>
      <c r="B17" s="6">
        <v>72.900000000000006</v>
      </c>
      <c r="C17" s="12">
        <f t="shared" si="0"/>
        <v>7.2900000000000006E-2</v>
      </c>
      <c r="D17" s="3"/>
      <c r="E17" s="3"/>
      <c r="F17" s="1">
        <v>34</v>
      </c>
      <c r="G17" s="6">
        <v>86</v>
      </c>
      <c r="H17" s="12">
        <f t="shared" si="1"/>
        <v>8.6000000000000007E-2</v>
      </c>
      <c r="I17" s="3"/>
      <c r="J17" s="3"/>
      <c r="K17" s="1">
        <v>19</v>
      </c>
      <c r="L17" s="6">
        <v>161.30000000000001</v>
      </c>
      <c r="M17" s="12">
        <f t="shared" si="2"/>
        <v>0.16130000000000003</v>
      </c>
      <c r="N17" s="3"/>
      <c r="P17" s="1">
        <v>3</v>
      </c>
      <c r="Q17" s="6">
        <v>101.5</v>
      </c>
      <c r="R17" s="12">
        <f t="shared" si="3"/>
        <v>0.10150000000000001</v>
      </c>
      <c r="S17" s="3"/>
    </row>
    <row r="18" spans="1:19" x14ac:dyDescent="0.25">
      <c r="A18" s="1">
        <v>48</v>
      </c>
      <c r="B18" s="6">
        <v>61.6</v>
      </c>
      <c r="C18" s="12">
        <f t="shared" si="0"/>
        <v>6.1600000000000002E-2</v>
      </c>
      <c r="D18" s="3"/>
      <c r="E18" s="3"/>
      <c r="F18" s="1">
        <v>33</v>
      </c>
      <c r="G18" s="6">
        <v>144.69999999999999</v>
      </c>
      <c r="H18" s="12">
        <f t="shared" si="1"/>
        <v>0.1447</v>
      </c>
      <c r="I18" s="3"/>
      <c r="J18" s="3"/>
      <c r="K18" s="1">
        <v>18</v>
      </c>
      <c r="L18" s="6">
        <v>75.099999999999994</v>
      </c>
      <c r="M18" s="12">
        <f t="shared" si="2"/>
        <v>7.51E-2</v>
      </c>
      <c r="N18" s="3"/>
      <c r="P18" s="1">
        <v>2</v>
      </c>
      <c r="Q18" s="6">
        <v>147.69999999999999</v>
      </c>
      <c r="R18" s="12">
        <f t="shared" si="3"/>
        <v>0.1477</v>
      </c>
      <c r="S18" s="3"/>
    </row>
    <row r="19" spans="1:19" x14ac:dyDescent="0.25">
      <c r="A19" s="1">
        <v>47</v>
      </c>
      <c r="B19" s="6">
        <v>92.5</v>
      </c>
      <c r="C19" s="12">
        <f t="shared" si="0"/>
        <v>9.2499999999999999E-2</v>
      </c>
      <c r="D19" s="13" t="s">
        <v>8</v>
      </c>
      <c r="E19" s="14"/>
      <c r="F19" s="15">
        <v>32</v>
      </c>
      <c r="G19" s="6">
        <v>50.8</v>
      </c>
      <c r="H19" s="12">
        <f t="shared" si="1"/>
        <v>5.0799999999999998E-2</v>
      </c>
      <c r="I19" s="13" t="s">
        <v>8</v>
      </c>
      <c r="J19" s="14"/>
      <c r="K19" s="15">
        <v>17</v>
      </c>
      <c r="L19" s="6">
        <v>85.3</v>
      </c>
      <c r="M19" s="12">
        <f t="shared" si="2"/>
        <v>8.5300000000000001E-2</v>
      </c>
      <c r="N19" s="13" t="s">
        <v>8</v>
      </c>
      <c r="O19" s="18"/>
      <c r="P19" s="15">
        <v>1</v>
      </c>
      <c r="Q19" s="6">
        <v>108.5</v>
      </c>
      <c r="R19" s="12">
        <f t="shared" si="3"/>
        <v>0.1085</v>
      </c>
      <c r="S19" s="13" t="s">
        <v>8</v>
      </c>
    </row>
    <row r="20" spans="1:19" x14ac:dyDescent="0.25">
      <c r="A20" s="1" t="s">
        <v>3</v>
      </c>
      <c r="B20" s="5">
        <f>SUM(B5:B19)</f>
        <v>1226</v>
      </c>
      <c r="C20" s="7">
        <f>B20*0.001</f>
        <v>1.226</v>
      </c>
      <c r="D20" s="5">
        <f>B20+C20</f>
        <v>1227.2260000000001</v>
      </c>
      <c r="E20" s="3"/>
      <c r="F20" s="1" t="s">
        <v>3</v>
      </c>
      <c r="G20" s="5">
        <f>SUM(G5:G19)</f>
        <v>1253.4000000000001</v>
      </c>
      <c r="H20" s="7">
        <f>G20*0.001</f>
        <v>1.2534000000000001</v>
      </c>
      <c r="I20" s="5">
        <f>G20+H20</f>
        <v>1254.6534000000001</v>
      </c>
      <c r="J20" s="3"/>
      <c r="K20" s="1" t="s">
        <v>3</v>
      </c>
      <c r="L20" s="5">
        <f>SUM(L5:L19)</f>
        <v>1544.4999999999998</v>
      </c>
      <c r="M20" s="7">
        <f>L20*0.001</f>
        <v>1.5444999999999998</v>
      </c>
      <c r="N20" s="5">
        <f>L20+M20</f>
        <v>1546.0444999999997</v>
      </c>
      <c r="P20" s="1" t="s">
        <v>3</v>
      </c>
      <c r="Q20" s="5">
        <f>SUM(Q5:Q19)</f>
        <v>1496.8999999999999</v>
      </c>
      <c r="R20" s="7">
        <f>Q20*0.001</f>
        <v>1.4968999999999999</v>
      </c>
      <c r="S20" s="5">
        <f>Q20+R20</f>
        <v>1498.3969</v>
      </c>
    </row>
    <row r="23" spans="1:19" x14ac:dyDescent="0.25">
      <c r="A23" s="44" t="s">
        <v>21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</row>
    <row r="24" spans="1:19" x14ac:dyDescent="0.25">
      <c r="A24" s="41" t="s">
        <v>4</v>
      </c>
      <c r="B24" s="41"/>
      <c r="C24" s="42"/>
      <c r="F24" s="41" t="s">
        <v>5</v>
      </c>
      <c r="G24" s="41"/>
      <c r="H24" s="42"/>
      <c r="K24" s="41" t="s">
        <v>6</v>
      </c>
      <c r="L24" s="41"/>
      <c r="M24" s="42"/>
      <c r="P24" s="41" t="s">
        <v>7</v>
      </c>
      <c r="Q24" s="41"/>
      <c r="R24" s="42"/>
    </row>
    <row r="25" spans="1:19" x14ac:dyDescent="0.25">
      <c r="A25" s="2"/>
      <c r="B25" s="8" t="s">
        <v>0</v>
      </c>
      <c r="C25" s="9" t="s">
        <v>2</v>
      </c>
      <c r="F25" s="2"/>
      <c r="G25" s="8" t="s">
        <v>0</v>
      </c>
      <c r="H25" s="9" t="s">
        <v>2</v>
      </c>
      <c r="K25" s="2"/>
      <c r="L25" s="8" t="s">
        <v>0</v>
      </c>
      <c r="M25" s="9" t="s">
        <v>2</v>
      </c>
      <c r="P25" s="2"/>
      <c r="Q25" s="8" t="s">
        <v>0</v>
      </c>
      <c r="R25" s="9" t="s">
        <v>2</v>
      </c>
    </row>
    <row r="26" spans="1:19" x14ac:dyDescent="0.25">
      <c r="A26" s="10" t="s">
        <v>0</v>
      </c>
      <c r="B26" s="10" t="s">
        <v>1</v>
      </c>
      <c r="C26" s="11" t="s">
        <v>1</v>
      </c>
      <c r="F26" s="10" t="s">
        <v>0</v>
      </c>
      <c r="G26" s="10" t="s">
        <v>1</v>
      </c>
      <c r="H26" s="11" t="s">
        <v>1</v>
      </c>
      <c r="K26" s="10" t="s">
        <v>0</v>
      </c>
      <c r="L26" s="10" t="s">
        <v>1</v>
      </c>
      <c r="M26" s="11" t="s">
        <v>1</v>
      </c>
      <c r="P26" s="10" t="s">
        <v>0</v>
      </c>
      <c r="Q26" s="10" t="s">
        <v>1</v>
      </c>
      <c r="R26" s="11" t="s">
        <v>1</v>
      </c>
    </row>
    <row r="27" spans="1:19" x14ac:dyDescent="0.25">
      <c r="A27" s="1">
        <v>61</v>
      </c>
      <c r="B27" s="6">
        <f>[1]Flume3!M3/1000</f>
        <v>2.58</v>
      </c>
      <c r="C27" s="12">
        <f>SUM([2]Flume3!B62:J62)</f>
        <v>0.16849203308661986</v>
      </c>
      <c r="D27" s="4"/>
      <c r="E27" s="4"/>
      <c r="F27" s="1">
        <v>46</v>
      </c>
      <c r="G27" s="6">
        <f>[1]Flume4!O3/1000</f>
        <v>1.1200000000000001</v>
      </c>
      <c r="H27" s="12">
        <f>SUM([2]Flume4!B62:M62)</f>
        <v>0.14037465980705172</v>
      </c>
      <c r="I27" s="4"/>
      <c r="J27" s="4"/>
      <c r="K27" s="1">
        <v>31</v>
      </c>
      <c r="L27" s="6">
        <f>[1]Flume5!O3/1000</f>
        <v>2.38</v>
      </c>
      <c r="M27" s="12">
        <f>SUM([2]Flume5!B60:S60)</f>
        <v>0.15406198491295472</v>
      </c>
      <c r="N27" s="4"/>
      <c r="P27" s="1">
        <v>16</v>
      </c>
      <c r="Q27" s="6">
        <f>[1]Flume6!L3/1000</f>
        <v>2.9</v>
      </c>
      <c r="R27" s="12">
        <f>SUM([2]Flume6!B61:J61)</f>
        <v>0.2637865857793692</v>
      </c>
      <c r="S27" s="4"/>
    </row>
    <row r="28" spans="1:19" x14ac:dyDescent="0.25">
      <c r="A28" s="1">
        <v>60</v>
      </c>
      <c r="B28" s="6">
        <f>[1]Flume3!M4/1000</f>
        <v>1.88</v>
      </c>
      <c r="C28" s="12">
        <f>SUM([2]Flume3!B63:J63)</f>
        <v>0.22305459171033737</v>
      </c>
      <c r="D28" s="3"/>
      <c r="E28" s="3"/>
      <c r="F28" s="1">
        <v>45</v>
      </c>
      <c r="G28" s="6">
        <f>[1]Flume4!O4/1000</f>
        <v>0.26</v>
      </c>
      <c r="H28" s="12">
        <f>SUM([2]Flume4!B63:M63)</f>
        <v>1.5703287718400339E-2</v>
      </c>
      <c r="I28" s="3"/>
      <c r="J28" s="3"/>
      <c r="K28" s="1">
        <v>30</v>
      </c>
      <c r="L28" s="6">
        <f>[1]Flume5!O4/1000</f>
        <v>1.56</v>
      </c>
      <c r="M28" s="12">
        <f>SUM([2]Flume5!B61:S61)</f>
        <v>0.18438100157196077</v>
      </c>
      <c r="N28" s="3"/>
      <c r="P28" s="1">
        <v>15</v>
      </c>
      <c r="Q28" s="6">
        <f>[1]Flume6!L4/1000</f>
        <v>1.84</v>
      </c>
      <c r="R28" s="12">
        <f>SUM([2]Flume6!B62:J62)</f>
        <v>0.2286526015753563</v>
      </c>
      <c r="S28" s="3"/>
    </row>
    <row r="29" spans="1:19" x14ac:dyDescent="0.25">
      <c r="A29" s="1">
        <v>59</v>
      </c>
      <c r="B29" s="6">
        <f>[1]Flume3!M5/1000</f>
        <v>1.78</v>
      </c>
      <c r="C29" s="12">
        <f>SUM([2]Flume3!B64:J64)</f>
        <v>0.12827888413206767</v>
      </c>
      <c r="D29" s="3"/>
      <c r="E29" s="3"/>
      <c r="F29" s="1">
        <v>44</v>
      </c>
      <c r="G29" s="6">
        <f>[1]Flume4!O5/1000</f>
        <v>0.86</v>
      </c>
      <c r="H29" s="12">
        <f>SUM([2]Flume4!B64:M64)</f>
        <v>0.10896808437025102</v>
      </c>
      <c r="I29" s="3"/>
      <c r="J29" s="3"/>
      <c r="K29" s="1">
        <v>29</v>
      </c>
      <c r="L29" s="6">
        <f>[1]Flume5!O5/1000</f>
        <v>2.2200000000000002</v>
      </c>
      <c r="M29" s="12">
        <f>SUM([2]Flume5!B62:S62)</f>
        <v>0.13250603942058842</v>
      </c>
      <c r="N29" s="3"/>
      <c r="P29" s="1">
        <v>14</v>
      </c>
      <c r="Q29" s="6">
        <f>[1]Flume6!L5/1000</f>
        <v>3.2</v>
      </c>
      <c r="R29" s="12">
        <f>SUM([2]Flume6!B63:J63)</f>
        <v>0.242110743563207</v>
      </c>
      <c r="S29" s="3"/>
    </row>
    <row r="30" spans="1:19" x14ac:dyDescent="0.25">
      <c r="A30" s="1">
        <v>58</v>
      </c>
      <c r="B30" s="6">
        <f>[1]Flume3!M6/1000</f>
        <v>1.78</v>
      </c>
      <c r="C30" s="12">
        <f>SUM([2]Flume3!B65:J65)</f>
        <v>0.15412989102200725</v>
      </c>
      <c r="D30" s="3"/>
      <c r="E30" s="3"/>
      <c r="F30" s="1">
        <v>43</v>
      </c>
      <c r="G30" s="6">
        <f>[1]Flume4!O6/1000</f>
        <v>0.74</v>
      </c>
      <c r="H30" s="12">
        <f>SUM([2]Flume4!B65:M65)</f>
        <v>9.8637867530633042E-2</v>
      </c>
      <c r="I30" s="3"/>
      <c r="J30" s="3"/>
      <c r="K30" s="1">
        <v>28</v>
      </c>
      <c r="L30" s="6">
        <f>[1]Flume5!O6/1000</f>
        <v>1.18</v>
      </c>
      <c r="M30" s="12">
        <f>SUM([2]Flume5!B63:S63)</f>
        <v>0.12743005776891084</v>
      </c>
      <c r="N30" s="3"/>
      <c r="P30" s="1">
        <v>12</v>
      </c>
      <c r="Q30" s="6">
        <f>[1]Flume6!L6/1000</f>
        <v>1.94</v>
      </c>
      <c r="R30" s="12">
        <f>SUM([2]Flume6!B64:J64)</f>
        <v>0.2262376905721753</v>
      </c>
      <c r="S30" s="3"/>
    </row>
    <row r="31" spans="1:19" x14ac:dyDescent="0.25">
      <c r="A31" s="1">
        <v>57</v>
      </c>
      <c r="B31" s="6">
        <f>[1]Flume3!M7/1000</f>
        <v>1.52</v>
      </c>
      <c r="C31" s="12">
        <f>SUM([2]Flume3!B66:J66)</f>
        <v>0.1337962554925867</v>
      </c>
      <c r="D31" s="3"/>
      <c r="E31" s="3"/>
      <c r="F31" s="1">
        <v>42</v>
      </c>
      <c r="G31" s="6">
        <f>[1]Flume4!O7/1000</f>
        <v>4.42</v>
      </c>
      <c r="H31" s="12">
        <f>SUM([2]Flume4!B66:M66)</f>
        <v>0.24955495076809195</v>
      </c>
      <c r="I31" s="3"/>
      <c r="J31" s="3"/>
      <c r="K31" s="1">
        <v>27</v>
      </c>
      <c r="L31" s="6">
        <f>[1]Flume5!O7/1000</f>
        <v>1.34</v>
      </c>
      <c r="M31" s="12">
        <f>SUM([2]Flume5!B64:S64)</f>
        <v>0.12007073320034164</v>
      </c>
      <c r="N31" s="3"/>
      <c r="P31" s="1">
        <v>11</v>
      </c>
      <c r="Q31" s="6">
        <f>[1]Flume6!L7/1000</f>
        <v>2.2000000000000002</v>
      </c>
      <c r="R31" s="12">
        <f>SUM([2]Flume6!B65:J65)</f>
        <v>0.20310292804433738</v>
      </c>
      <c r="S31" s="3"/>
    </row>
    <row r="32" spans="1:19" x14ac:dyDescent="0.25">
      <c r="A32" s="1">
        <v>56</v>
      </c>
      <c r="B32" s="6">
        <f>[1]Flume3!M8/1000</f>
        <v>2.54</v>
      </c>
      <c r="C32" s="12">
        <f>SUM([2]Flume3!B67:J67)</f>
        <v>0.1544863980945331</v>
      </c>
      <c r="D32" s="3"/>
      <c r="E32" s="3"/>
      <c r="F32" s="1">
        <v>41</v>
      </c>
      <c r="G32" s="6">
        <f>[1]Flume4!O8/1000</f>
        <v>4.8600000000000003</v>
      </c>
      <c r="H32" s="12">
        <f>SUM([2]Flume4!B67:M67)</f>
        <v>0.38876247432580302</v>
      </c>
      <c r="I32" s="3"/>
      <c r="J32" s="3"/>
      <c r="K32" s="1">
        <v>26</v>
      </c>
      <c r="L32" s="6">
        <f>[1]Flume5!O8/1000</f>
        <v>1.86</v>
      </c>
      <c r="M32" s="12">
        <f>SUM([2]Flume5!B65:S65)</f>
        <v>0.1337962554925867</v>
      </c>
      <c r="N32" s="3"/>
      <c r="P32" s="1">
        <v>10</v>
      </c>
      <c r="Q32" s="6">
        <f>[1]Flume6!L8/1000</f>
        <v>1.3819999999999999</v>
      </c>
      <c r="R32" s="12">
        <f>SUM([2]Flume6!B66:J66)</f>
        <v>0.16162396677572763</v>
      </c>
      <c r="S32" s="3"/>
    </row>
    <row r="33" spans="1:19" x14ac:dyDescent="0.25">
      <c r="A33" s="1">
        <v>55</v>
      </c>
      <c r="B33" s="6">
        <f>[1]Flume3!M9/1000</f>
        <v>2.2999999999999998</v>
      </c>
      <c r="C33" s="12">
        <f>SUM([2]Flume3!B68:J68)</f>
        <v>0.15501691457150604</v>
      </c>
      <c r="D33" s="3"/>
      <c r="E33" s="3"/>
      <c r="F33" s="1">
        <v>40</v>
      </c>
      <c r="G33" s="6">
        <f>[1]Flume4!O9/1000</f>
        <v>3.02</v>
      </c>
      <c r="H33" s="12">
        <f>SUM([2]Flume4!B68:M68)</f>
        <v>0.1613831122951819</v>
      </c>
      <c r="I33" s="3"/>
      <c r="J33" s="3"/>
      <c r="K33" s="1">
        <v>25</v>
      </c>
      <c r="L33" s="6">
        <f>[1]Flume5!O9/1000</f>
        <v>1.9</v>
      </c>
      <c r="M33" s="12">
        <f>SUM([2]Flume5!B66:S66)</f>
        <v>0.15416808820834929</v>
      </c>
      <c r="N33" s="3"/>
      <c r="P33" s="1">
        <v>9</v>
      </c>
      <c r="Q33" s="6">
        <f>[1]Flume6!L9/1000</f>
        <v>2.12</v>
      </c>
      <c r="R33" s="12">
        <f>SUM([2]Flume6!B67:J67)</f>
        <v>0.18556193124970266</v>
      </c>
      <c r="S33" s="3"/>
    </row>
    <row r="34" spans="1:19" x14ac:dyDescent="0.25">
      <c r="A34" s="1">
        <v>54</v>
      </c>
      <c r="B34" s="6">
        <f>[1]Flume3!M10/1000</f>
        <v>2.38</v>
      </c>
      <c r="C34" s="12">
        <f>SUM([2]Flume3!B69:J69)</f>
        <v>0.14556947714957114</v>
      </c>
      <c r="D34" s="3"/>
      <c r="E34" s="3"/>
      <c r="F34" s="1">
        <v>39</v>
      </c>
      <c r="G34" s="6">
        <f>[1]Flume4!O10/1000</f>
        <v>0.86</v>
      </c>
      <c r="H34" s="12">
        <f>SUM([2]Flume4!B69:M69)</f>
        <v>0.2642481351143357</v>
      </c>
      <c r="I34" s="3"/>
      <c r="J34" s="3"/>
      <c r="K34" s="1">
        <v>24</v>
      </c>
      <c r="L34" s="6">
        <f>[1]Flume5!O10/1000</f>
        <v>1.76</v>
      </c>
      <c r="M34" s="12">
        <f>SUM([2]Flume5!B67:S67)</f>
        <v>0.17400940444713892</v>
      </c>
      <c r="N34" s="3"/>
      <c r="P34" s="1">
        <v>8</v>
      </c>
      <c r="Q34" s="6">
        <f>[1]Flume6!L10/1000</f>
        <v>3.16</v>
      </c>
      <c r="R34" s="12">
        <f>SUM([2]Flume6!B68:J68)</f>
        <v>0.18349928318723169</v>
      </c>
      <c r="S34" s="3"/>
    </row>
    <row r="35" spans="1:19" x14ac:dyDescent="0.25">
      <c r="A35" s="1">
        <v>53</v>
      </c>
      <c r="B35" s="6">
        <f>[1]Flume3!M11/1000</f>
        <v>1.66</v>
      </c>
      <c r="C35" s="12">
        <f>SUM([2]Flume3!B70:J70)</f>
        <v>0.12743005776891084</v>
      </c>
      <c r="D35" s="3"/>
      <c r="E35" s="3"/>
      <c r="F35" s="1">
        <v>38</v>
      </c>
      <c r="G35" s="6">
        <f>[1]Flume4!O11/1000</f>
        <v>1.32</v>
      </c>
      <c r="H35" s="12">
        <f>SUM([2]Flume4!B70:M70)</f>
        <v>0.12494299652486153</v>
      </c>
      <c r="I35" s="3"/>
      <c r="J35" s="3"/>
      <c r="K35" s="1">
        <v>23</v>
      </c>
      <c r="L35" s="6">
        <f>[1]Flume5!O11/1000</f>
        <v>1.54</v>
      </c>
      <c r="M35" s="12">
        <f>SUM([2]Flume5!B68:S68)</f>
        <v>0.3681359937010934</v>
      </c>
      <c r="N35" s="3"/>
      <c r="P35" s="1">
        <v>7</v>
      </c>
      <c r="Q35" s="6">
        <f>[1]Flume6!L11/1000</f>
        <v>2.02</v>
      </c>
      <c r="R35" s="12">
        <f>SUM([2]Flume6!B69:J69)</f>
        <v>0.22968392560659179</v>
      </c>
      <c r="S35" s="3"/>
    </row>
    <row r="36" spans="1:19" x14ac:dyDescent="0.25">
      <c r="A36" s="1">
        <v>52</v>
      </c>
      <c r="B36" s="6">
        <f>[1]Flume3!M12/1000</f>
        <v>2.62</v>
      </c>
      <c r="C36" s="12">
        <f>SUM([2]Flume3!B71:J71)</f>
        <v>0.14780189048467343</v>
      </c>
      <c r="D36" s="3"/>
      <c r="E36" s="3"/>
      <c r="F36" s="1">
        <v>37</v>
      </c>
      <c r="G36" s="6">
        <f>[1]Flume4!O12/1000</f>
        <v>2.68</v>
      </c>
      <c r="H36" s="12">
        <f>SUM([2]Flume4!B71:M71)</f>
        <v>0.20392628961659945</v>
      </c>
      <c r="I36" s="3"/>
      <c r="J36" s="3"/>
      <c r="K36" s="1">
        <v>22</v>
      </c>
      <c r="L36" s="6">
        <f>[1]Flume5!O12/1000</f>
        <v>1.62</v>
      </c>
      <c r="M36" s="12">
        <f>SUM([2]Flume5!B69:S69)</f>
        <v>0.14048076310244634</v>
      </c>
      <c r="N36" s="3"/>
      <c r="P36" s="1">
        <v>6</v>
      </c>
      <c r="Q36" s="6">
        <f>[1]Flume6!L12/1000</f>
        <v>2.82</v>
      </c>
      <c r="R36" s="12">
        <f>SUM([2]Flume6!B70:J70)</f>
        <v>0.11869563449202765</v>
      </c>
      <c r="S36" s="3"/>
    </row>
    <row r="37" spans="1:19" x14ac:dyDescent="0.25">
      <c r="A37" s="1">
        <v>51</v>
      </c>
      <c r="B37" s="6">
        <f>[1]Flume3!M13/1000</f>
        <v>2.06</v>
      </c>
      <c r="C37" s="12">
        <f>SUM([2]Flume3!B72:J72)</f>
        <v>0.15266566554556182</v>
      </c>
      <c r="D37" s="3"/>
      <c r="E37" s="3"/>
      <c r="F37" s="1">
        <v>36</v>
      </c>
      <c r="G37" s="6">
        <f>[1]Flume4!O13/1000</f>
        <v>4.9400000000000004</v>
      </c>
      <c r="H37" s="12">
        <f>SUM([2]Flume4!B72:M72)</f>
        <v>0.2567742189867403</v>
      </c>
      <c r="I37" s="3"/>
      <c r="J37" s="3"/>
      <c r="K37" s="1">
        <v>21</v>
      </c>
      <c r="L37" s="6">
        <f>[1]Flume5!O13/1000</f>
        <v>2.2999999999999998</v>
      </c>
      <c r="M37" s="12">
        <f>SUM([2]Flume5!B70:S70)</f>
        <v>0.32582199949772817</v>
      </c>
      <c r="N37" s="3"/>
      <c r="P37" s="1">
        <v>5</v>
      </c>
      <c r="Q37" s="6">
        <f>[1]Flume6!L13/1000</f>
        <v>2.98</v>
      </c>
      <c r="R37" s="12">
        <f>SUM([2]Flume6!B71:J71)</f>
        <v>0.13322754182927168</v>
      </c>
      <c r="S37" s="3"/>
    </row>
    <row r="38" spans="1:19" x14ac:dyDescent="0.25">
      <c r="A38" s="1">
        <v>50</v>
      </c>
      <c r="B38" s="6">
        <f>[1]Flume3!M14/1000</f>
        <v>2</v>
      </c>
      <c r="C38" s="12">
        <f>SUM([2]Flume3!B73:J73)</f>
        <v>0.14048076310244634</v>
      </c>
      <c r="D38" s="3"/>
      <c r="E38" s="3"/>
      <c r="F38" s="1">
        <v>35</v>
      </c>
      <c r="G38" s="6">
        <f>[1]Flume4!O14/1000</f>
        <v>3.64</v>
      </c>
      <c r="H38" s="12">
        <f>SUM([2]Flume4!B73:M73)</f>
        <v>0.24074837725034035</v>
      </c>
      <c r="I38" s="3"/>
      <c r="J38" s="3"/>
      <c r="K38" s="1">
        <v>20</v>
      </c>
      <c r="L38" s="6">
        <f>[1]Flume5!O14/1000</f>
        <v>1.62</v>
      </c>
      <c r="M38" s="12">
        <f>SUM([2]Flume5!B71:S71)</f>
        <v>0.16341180730312657</v>
      </c>
      <c r="N38" s="3"/>
      <c r="P38" s="1">
        <v>4</v>
      </c>
      <c r="Q38" s="6">
        <f>[1]Flume6!L14/1000</f>
        <v>2.12</v>
      </c>
      <c r="R38" s="12">
        <f>SUM([2]Flume6!B72:J72)</f>
        <v>0.12475625472496704</v>
      </c>
      <c r="S38" s="3"/>
    </row>
    <row r="39" spans="1:19" x14ac:dyDescent="0.25">
      <c r="A39" s="1">
        <v>49</v>
      </c>
      <c r="B39" s="6">
        <f>[1]Flume3!M15/1000</f>
        <v>2.36</v>
      </c>
      <c r="C39" s="12">
        <f>SUM([2]Flume3!B74:J74)</f>
        <v>0.14048076310244634</v>
      </c>
      <c r="D39" s="3"/>
      <c r="E39" s="3"/>
      <c r="F39" s="1">
        <v>34</v>
      </c>
      <c r="G39" s="6">
        <f>[1]Flume4!O15/1000</f>
        <v>3.38</v>
      </c>
      <c r="H39" s="12">
        <f>SUM([2]Flume4!B74:M74)</f>
        <v>0.21683693860021402</v>
      </c>
      <c r="I39" s="3"/>
      <c r="J39" s="3"/>
      <c r="K39" s="1">
        <v>19</v>
      </c>
      <c r="L39" s="6">
        <f>[1]Flume5!O15/1000</f>
        <v>1.7</v>
      </c>
      <c r="M39" s="12">
        <f>SUM([2]Flume5!B72:S72)</f>
        <v>0.14737747730309511</v>
      </c>
      <c r="N39" s="3"/>
      <c r="P39" s="1">
        <v>3</v>
      </c>
      <c r="Q39" s="6">
        <f>[1]Flume6!L15/1000</f>
        <v>2.16</v>
      </c>
      <c r="R39" s="12">
        <f>SUM([2]Flume6!B73:J73)</f>
        <v>8.6898598928174864E-2</v>
      </c>
      <c r="S39" s="3"/>
    </row>
    <row r="40" spans="1:19" x14ac:dyDescent="0.25">
      <c r="A40" s="1">
        <v>48</v>
      </c>
      <c r="B40" s="6">
        <f>[1]Flume3!M16/1000</f>
        <v>1.46</v>
      </c>
      <c r="C40" s="12">
        <f>SUM([2]Flume3!B75:J75)</f>
        <v>0.12479020777949332</v>
      </c>
      <c r="D40" s="3"/>
      <c r="E40" s="3"/>
      <c r="F40" s="1">
        <v>33</v>
      </c>
      <c r="G40" s="6">
        <f>[1]Flume4!O16/1000</f>
        <v>7.34</v>
      </c>
      <c r="H40" s="12">
        <f>SUM([2]Flume4!B75:M75)</f>
        <v>0.34691109049035829</v>
      </c>
      <c r="I40" s="3"/>
      <c r="J40" s="3"/>
      <c r="K40" s="1">
        <v>18</v>
      </c>
      <c r="L40" s="6">
        <f>[1]Flume5!O16/1000</f>
        <v>1.86</v>
      </c>
      <c r="M40" s="12">
        <f>SUM([2]Flume5!B73:S73)</f>
        <v>0.13400846208337588</v>
      </c>
      <c r="N40" s="3"/>
      <c r="P40" s="1">
        <v>2</v>
      </c>
      <c r="Q40" s="6">
        <f>[1]Flume6!L16/1000</f>
        <v>2.58</v>
      </c>
      <c r="R40" s="12">
        <f>SUM([2]Flume6!B74:J74)</f>
        <v>0.11861924011934356</v>
      </c>
      <c r="S40" s="3"/>
    </row>
    <row r="41" spans="1:19" x14ac:dyDescent="0.25">
      <c r="A41" s="1">
        <v>47</v>
      </c>
      <c r="B41" s="6">
        <f>[1]Flume3!M17/1000</f>
        <v>1.7</v>
      </c>
      <c r="C41" s="12">
        <f>SUM([2]Flume3!B76:J76)</f>
        <v>0.20155806406339205</v>
      </c>
      <c r="D41" s="13" t="s">
        <v>8</v>
      </c>
      <c r="E41" s="14"/>
      <c r="F41" s="15">
        <v>32</v>
      </c>
      <c r="G41" s="16">
        <f>[1]Flume4!O17/1000</f>
        <v>4.5999999999999996</v>
      </c>
      <c r="H41" s="17">
        <f>SUM([2]Flume4!B76:M76)</f>
        <v>0.21560189624182094</v>
      </c>
      <c r="I41" s="13" t="s">
        <v>8</v>
      </c>
      <c r="J41" s="14"/>
      <c r="K41" s="15">
        <v>17</v>
      </c>
      <c r="L41" s="16">
        <f>[1]Flume5!O17/1000</f>
        <v>1.52</v>
      </c>
      <c r="M41" s="17">
        <f>SUM([2]Flume5!B74:S74)</f>
        <v>0.13786637790392345</v>
      </c>
      <c r="N41" s="13" t="s">
        <v>8</v>
      </c>
      <c r="O41" s="18"/>
      <c r="P41" s="15">
        <v>1</v>
      </c>
      <c r="Q41" s="16">
        <f>[1]Flume6!L17/1000</f>
        <v>1.94</v>
      </c>
      <c r="R41" s="17">
        <f>SUM([2]Flume6!B75:J75)</f>
        <v>0.12590217031522868</v>
      </c>
      <c r="S41" s="13" t="s">
        <v>8</v>
      </c>
    </row>
    <row r="42" spans="1:19" x14ac:dyDescent="0.25">
      <c r="A42" s="1" t="s">
        <v>3</v>
      </c>
      <c r="B42" s="5">
        <f>SUM(B27:B41)</f>
        <v>30.619999999999997</v>
      </c>
      <c r="C42" s="7">
        <f>SUM(C27:C41)</f>
        <v>2.2980318571061531</v>
      </c>
      <c r="D42" s="5">
        <f>B42+C42</f>
        <v>32.918031857106151</v>
      </c>
      <c r="E42" s="3"/>
      <c r="F42" s="1" t="s">
        <v>3</v>
      </c>
      <c r="G42" s="5">
        <f>SUM(G27:G41)</f>
        <v>44.04</v>
      </c>
      <c r="H42" s="7">
        <f>SUM(H27:H41)</f>
        <v>3.0333743796406836</v>
      </c>
      <c r="I42" s="5">
        <f>G42+H42</f>
        <v>47.073374379640683</v>
      </c>
      <c r="J42" s="3"/>
      <c r="K42" s="1" t="s">
        <v>3</v>
      </c>
      <c r="L42" s="5">
        <f>SUM(L27:L41)</f>
        <v>26.36</v>
      </c>
      <c r="M42" s="7">
        <f>SUM(M27:M41)</f>
        <v>2.5975264459176199</v>
      </c>
      <c r="N42" s="5">
        <f>L42+M42</f>
        <v>28.957526445917619</v>
      </c>
      <c r="P42" s="1" t="s">
        <v>3</v>
      </c>
      <c r="Q42" s="5">
        <f>SUM(Q27:Q41)</f>
        <v>35.362000000000002</v>
      </c>
      <c r="R42" s="7">
        <f>SUM(R27:R41)</f>
        <v>2.6323590967627122</v>
      </c>
      <c r="S42" s="5">
        <f>Q42+R42</f>
        <v>37.994359096762715</v>
      </c>
    </row>
    <row r="45" spans="1:19" x14ac:dyDescent="0.25">
      <c r="A45" s="44" t="s">
        <v>21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</row>
    <row r="46" spans="1:19" x14ac:dyDescent="0.25">
      <c r="A46" s="41" t="s">
        <v>4</v>
      </c>
      <c r="B46" s="41"/>
      <c r="C46" s="41"/>
      <c r="D46" s="42"/>
      <c r="E46" s="29"/>
      <c r="F46" s="41" t="s">
        <v>5</v>
      </c>
      <c r="G46" s="41"/>
      <c r="H46" s="41"/>
      <c r="I46" s="42"/>
      <c r="J46" s="29"/>
      <c r="K46" s="41" t="s">
        <v>6</v>
      </c>
      <c r="L46" s="41"/>
      <c r="M46" s="41"/>
      <c r="N46" s="42"/>
      <c r="O46" s="29"/>
      <c r="P46" s="41" t="s">
        <v>7</v>
      </c>
      <c r="Q46" s="41"/>
      <c r="R46" s="41"/>
      <c r="S46" s="42"/>
    </row>
    <row r="47" spans="1:19" x14ac:dyDescent="0.25">
      <c r="A47" s="43" t="s">
        <v>0</v>
      </c>
      <c r="B47" s="8" t="s">
        <v>67</v>
      </c>
      <c r="C47" s="9" t="s">
        <v>68</v>
      </c>
      <c r="D47" s="40" t="s">
        <v>65</v>
      </c>
      <c r="E47" s="29"/>
      <c r="F47" s="43" t="s">
        <v>0</v>
      </c>
      <c r="G47" s="8" t="s">
        <v>67</v>
      </c>
      <c r="H47" s="9" t="s">
        <v>68</v>
      </c>
      <c r="I47" s="40" t="s">
        <v>65</v>
      </c>
      <c r="J47" s="29"/>
      <c r="K47" s="43" t="s">
        <v>0</v>
      </c>
      <c r="L47" s="8" t="s">
        <v>67</v>
      </c>
      <c r="M47" s="9" t="s">
        <v>68</v>
      </c>
      <c r="N47" s="40" t="s">
        <v>65</v>
      </c>
      <c r="O47" s="29"/>
      <c r="P47" s="43" t="s">
        <v>0</v>
      </c>
      <c r="Q47" s="8" t="s">
        <v>67</v>
      </c>
      <c r="R47" s="9" t="s">
        <v>68</v>
      </c>
      <c r="S47" s="40" t="s">
        <v>65</v>
      </c>
    </row>
    <row r="48" spans="1:19" x14ac:dyDescent="0.25">
      <c r="A48" s="43"/>
      <c r="B48" s="10" t="s">
        <v>1</v>
      </c>
      <c r="C48" s="11" t="s">
        <v>1</v>
      </c>
      <c r="D48" s="40"/>
      <c r="E48" s="29"/>
      <c r="F48" s="43"/>
      <c r="G48" s="10" t="s">
        <v>1</v>
      </c>
      <c r="H48" s="11" t="s">
        <v>1</v>
      </c>
      <c r="I48" s="40"/>
      <c r="J48" s="29"/>
      <c r="K48" s="43"/>
      <c r="L48" s="10" t="s">
        <v>1</v>
      </c>
      <c r="M48" s="11" t="s">
        <v>1</v>
      </c>
      <c r="N48" s="40"/>
      <c r="O48" s="29"/>
      <c r="P48" s="43"/>
      <c r="Q48" s="10" t="s">
        <v>1</v>
      </c>
      <c r="R48" s="11" t="s">
        <v>1</v>
      </c>
      <c r="S48" s="40"/>
    </row>
    <row r="49" spans="1:19" x14ac:dyDescent="0.25">
      <c r="A49" s="1">
        <v>61</v>
      </c>
      <c r="B49" s="6">
        <f>C5</f>
        <v>6.5400000000000014E-2</v>
      </c>
      <c r="C49" s="12">
        <f>SUM(B27:C27)</f>
        <v>2.7484920330866198</v>
      </c>
      <c r="D49" s="12">
        <f>(C49-B49)/B49*100</f>
        <v>4102.5872065544636</v>
      </c>
      <c r="E49" s="30"/>
      <c r="F49" s="1">
        <v>46</v>
      </c>
      <c r="G49" s="6">
        <f>H5</f>
        <v>7.3300000000000004E-2</v>
      </c>
      <c r="H49" s="12">
        <f>SUM(G27:H27)</f>
        <v>1.2603746598070518</v>
      </c>
      <c r="I49" s="12">
        <f>(H49-G49)/G49*100</f>
        <v>1619.4742971446817</v>
      </c>
      <c r="J49" s="30"/>
      <c r="K49" s="1">
        <v>31</v>
      </c>
      <c r="L49" s="6">
        <f>M5</f>
        <v>6.4200000000000007E-2</v>
      </c>
      <c r="M49" s="12">
        <f>SUM(L27:M27)</f>
        <v>2.5340619849129546</v>
      </c>
      <c r="N49" s="12">
        <f>(M49-L49)/L49*100</f>
        <v>3847.1370481510194</v>
      </c>
      <c r="O49" s="29"/>
      <c r="P49" s="1">
        <v>16</v>
      </c>
      <c r="Q49" s="6">
        <f>R5</f>
        <v>5.33E-2</v>
      </c>
      <c r="R49" s="12">
        <f>SUM(Q27:R27)</f>
        <v>3.163786585779369</v>
      </c>
      <c r="S49" s="12">
        <f>(R49-Q49)/Q49*100</f>
        <v>5835.809729417203</v>
      </c>
    </row>
    <row r="50" spans="1:19" x14ac:dyDescent="0.25">
      <c r="A50" s="1">
        <v>60</v>
      </c>
      <c r="B50" s="6">
        <f t="shared" ref="B50:B63" si="4">C6</f>
        <v>5.5700000000000006E-2</v>
      </c>
      <c r="C50" s="12">
        <f t="shared" ref="C50:C63" si="5">SUM(B28:C28)</f>
        <v>2.1030545917103374</v>
      </c>
      <c r="D50" s="12">
        <f>(C50-B50)/B50*100</f>
        <v>3675.6814931962963</v>
      </c>
      <c r="E50" s="31"/>
      <c r="F50" s="1">
        <v>45</v>
      </c>
      <c r="G50" s="6">
        <f t="shared" ref="G50:G63" si="6">H6</f>
        <v>7.8E-2</v>
      </c>
      <c r="H50" s="12">
        <f t="shared" ref="H50:H63" si="7">SUM(G28:H28)</f>
        <v>0.27570328771840036</v>
      </c>
      <c r="I50" s="12">
        <f t="shared" ref="I50:I63" si="8">(H50-G50)/G50*100</f>
        <v>253.46575348512866</v>
      </c>
      <c r="J50" s="31"/>
      <c r="K50" s="1">
        <v>30</v>
      </c>
      <c r="L50" s="6">
        <f t="shared" ref="L50:L63" si="9">M6</f>
        <v>0.12709999999999999</v>
      </c>
      <c r="M50" s="12">
        <f t="shared" ref="M50:M63" si="10">SUM(L28:M28)</f>
        <v>1.7443810015719607</v>
      </c>
      <c r="N50" s="12">
        <f t="shared" ref="N50:N63" si="11">(M50-L50)/L50*100</f>
        <v>1272.4476802297095</v>
      </c>
      <c r="O50" s="29"/>
      <c r="P50" s="1">
        <v>15</v>
      </c>
      <c r="Q50" s="6">
        <f t="shared" ref="Q50:Q63" si="12">R6</f>
        <v>5.8000000000000003E-2</v>
      </c>
      <c r="R50" s="12">
        <f t="shared" ref="R50:R63" si="13">SUM(Q28:R28)</f>
        <v>2.0686526015753564</v>
      </c>
      <c r="S50" s="12">
        <f t="shared" ref="S50:S63" si="14">(R50-Q50)/Q50*100</f>
        <v>3466.6424165092353</v>
      </c>
    </row>
    <row r="51" spans="1:19" x14ac:dyDescent="0.25">
      <c r="A51" s="1">
        <v>59</v>
      </c>
      <c r="B51" s="6">
        <f t="shared" si="4"/>
        <v>4.0799999999999996E-2</v>
      </c>
      <c r="C51" s="12">
        <f t="shared" si="5"/>
        <v>1.9082788841320677</v>
      </c>
      <c r="D51" s="12">
        <f t="shared" ref="D51:D63" si="15">(C51-B51)/B51*100</f>
        <v>4577.1541277746765</v>
      </c>
      <c r="E51" s="31"/>
      <c r="F51" s="1">
        <v>44</v>
      </c>
      <c r="G51" s="6">
        <f t="shared" si="6"/>
        <v>9.6299999999999997E-2</v>
      </c>
      <c r="H51" s="12">
        <f t="shared" si="7"/>
        <v>0.96896808437025106</v>
      </c>
      <c r="I51" s="12">
        <f t="shared" si="8"/>
        <v>906.19738771573316</v>
      </c>
      <c r="J51" s="31"/>
      <c r="K51" s="1">
        <v>29</v>
      </c>
      <c r="L51" s="6">
        <f t="shared" si="9"/>
        <v>0.1681</v>
      </c>
      <c r="M51" s="12">
        <f t="shared" si="10"/>
        <v>2.3525060394205886</v>
      </c>
      <c r="N51" s="12">
        <f t="shared" si="11"/>
        <v>1299.4681971568048</v>
      </c>
      <c r="O51" s="29"/>
      <c r="P51" s="1">
        <v>14</v>
      </c>
      <c r="Q51" s="6">
        <f t="shared" si="12"/>
        <v>8.7000000000000008E-2</v>
      </c>
      <c r="R51" s="12">
        <f t="shared" si="13"/>
        <v>3.442110743563207</v>
      </c>
      <c r="S51" s="12">
        <f t="shared" si="14"/>
        <v>3856.4491305324209</v>
      </c>
    </row>
    <row r="52" spans="1:19" x14ac:dyDescent="0.25">
      <c r="A52" s="1">
        <v>58</v>
      </c>
      <c r="B52" s="6">
        <f t="shared" si="4"/>
        <v>9.1600000000000001E-2</v>
      </c>
      <c r="C52" s="12">
        <f t="shared" si="5"/>
        <v>1.9341298910220073</v>
      </c>
      <c r="D52" s="12">
        <f t="shared" si="15"/>
        <v>2011.4955142161652</v>
      </c>
      <c r="E52" s="31"/>
      <c r="F52" s="1">
        <v>43</v>
      </c>
      <c r="G52" s="6">
        <f t="shared" si="6"/>
        <v>7.1800000000000003E-2</v>
      </c>
      <c r="H52" s="12">
        <f t="shared" si="7"/>
        <v>0.83863786753063307</v>
      </c>
      <c r="I52" s="12">
        <f t="shared" si="8"/>
        <v>1068.0193141095169</v>
      </c>
      <c r="J52" s="31"/>
      <c r="K52" s="1">
        <v>28</v>
      </c>
      <c r="L52" s="6">
        <f t="shared" si="9"/>
        <v>9.6099999999999991E-2</v>
      </c>
      <c r="M52" s="12">
        <f t="shared" si="10"/>
        <v>1.3074300577689109</v>
      </c>
      <c r="N52" s="12">
        <f t="shared" si="11"/>
        <v>1260.4891339947044</v>
      </c>
      <c r="O52" s="29"/>
      <c r="P52" s="1">
        <v>12</v>
      </c>
      <c r="Q52" s="6">
        <f t="shared" si="12"/>
        <v>7.8599999999999989E-2</v>
      </c>
      <c r="R52" s="12">
        <f t="shared" si="13"/>
        <v>2.1662376905721752</v>
      </c>
      <c r="S52" s="12">
        <f t="shared" si="14"/>
        <v>2656.0275961478064</v>
      </c>
    </row>
    <row r="53" spans="1:19" x14ac:dyDescent="0.25">
      <c r="A53" s="1">
        <v>57</v>
      </c>
      <c r="B53" s="6">
        <f t="shared" si="4"/>
        <v>9.8900000000000002E-2</v>
      </c>
      <c r="C53" s="12">
        <f t="shared" si="5"/>
        <v>1.6537962554925867</v>
      </c>
      <c r="D53" s="12">
        <f t="shared" si="15"/>
        <v>1572.1903493352747</v>
      </c>
      <c r="E53" s="31"/>
      <c r="F53" s="1">
        <v>42</v>
      </c>
      <c r="G53" s="6">
        <f t="shared" si="6"/>
        <v>0.1205</v>
      </c>
      <c r="H53" s="12">
        <f t="shared" si="7"/>
        <v>4.6695549507680916</v>
      </c>
      <c r="I53" s="12">
        <f t="shared" si="8"/>
        <v>3775.1493367370058</v>
      </c>
      <c r="J53" s="31"/>
      <c r="K53" s="1">
        <v>27</v>
      </c>
      <c r="L53" s="6">
        <f t="shared" si="9"/>
        <v>7.5799999999999992E-2</v>
      </c>
      <c r="M53" s="12">
        <f t="shared" si="10"/>
        <v>1.4600707332003418</v>
      </c>
      <c r="N53" s="12">
        <f t="shared" si="11"/>
        <v>1826.2146875993956</v>
      </c>
      <c r="O53" s="29"/>
      <c r="P53" s="1">
        <v>11</v>
      </c>
      <c r="Q53" s="6">
        <f t="shared" si="12"/>
        <v>0.1701</v>
      </c>
      <c r="R53" s="12">
        <f t="shared" si="13"/>
        <v>2.4031029280443374</v>
      </c>
      <c r="S53" s="12">
        <f t="shared" si="14"/>
        <v>1312.7589230125438</v>
      </c>
    </row>
    <row r="54" spans="1:19" x14ac:dyDescent="0.25">
      <c r="A54" s="1">
        <v>56</v>
      </c>
      <c r="B54" s="6">
        <f t="shared" si="4"/>
        <v>0.1013</v>
      </c>
      <c r="C54" s="12">
        <f t="shared" si="5"/>
        <v>2.6944863980945333</v>
      </c>
      <c r="D54" s="12">
        <f t="shared" si="15"/>
        <v>2559.9075993035863</v>
      </c>
      <c r="E54" s="31"/>
      <c r="F54" s="1">
        <v>41</v>
      </c>
      <c r="G54" s="6">
        <f t="shared" si="6"/>
        <v>0.13300000000000001</v>
      </c>
      <c r="H54" s="12">
        <f t="shared" si="7"/>
        <v>5.2487624743258037</v>
      </c>
      <c r="I54" s="12">
        <f t="shared" si="8"/>
        <v>3846.4379506209048</v>
      </c>
      <c r="J54" s="31"/>
      <c r="K54" s="1">
        <v>26</v>
      </c>
      <c r="L54" s="6">
        <f t="shared" si="9"/>
        <v>7.6999999999999999E-2</v>
      </c>
      <c r="M54" s="12">
        <f t="shared" si="10"/>
        <v>1.9937962554925868</v>
      </c>
      <c r="N54" s="12">
        <f t="shared" si="11"/>
        <v>2489.3457863540089</v>
      </c>
      <c r="O54" s="29"/>
      <c r="P54" s="1">
        <v>10</v>
      </c>
      <c r="Q54" s="6">
        <f t="shared" si="12"/>
        <v>0.14810000000000001</v>
      </c>
      <c r="R54" s="12">
        <f t="shared" si="13"/>
        <v>1.5436239667757274</v>
      </c>
      <c r="S54" s="12">
        <f t="shared" si="14"/>
        <v>942.28492017267195</v>
      </c>
    </row>
    <row r="55" spans="1:19" x14ac:dyDescent="0.25">
      <c r="A55" s="1">
        <v>55</v>
      </c>
      <c r="B55" s="6">
        <f t="shared" si="4"/>
        <v>3.7600000000000001E-2</v>
      </c>
      <c r="C55" s="12">
        <f t="shared" si="5"/>
        <v>2.4550169145715057</v>
      </c>
      <c r="D55" s="12">
        <f t="shared" si="15"/>
        <v>6429.3003047114507</v>
      </c>
      <c r="E55" s="31"/>
      <c r="F55" s="1">
        <v>40</v>
      </c>
      <c r="G55" s="6">
        <f t="shared" si="6"/>
        <v>0.11850000000000001</v>
      </c>
      <c r="H55" s="12">
        <f t="shared" si="7"/>
        <v>3.1813831122951819</v>
      </c>
      <c r="I55" s="12">
        <f t="shared" si="8"/>
        <v>2584.7114871689296</v>
      </c>
      <c r="J55" s="31"/>
      <c r="K55" s="1">
        <v>25</v>
      </c>
      <c r="L55" s="6">
        <f t="shared" si="9"/>
        <v>0.158</v>
      </c>
      <c r="M55" s="12">
        <f t="shared" si="10"/>
        <v>2.0541680882083493</v>
      </c>
      <c r="N55" s="12">
        <f t="shared" si="11"/>
        <v>1200.1063849419932</v>
      </c>
      <c r="O55" s="29"/>
      <c r="P55" s="1">
        <v>9</v>
      </c>
      <c r="Q55" s="6">
        <f t="shared" si="12"/>
        <v>7.6100000000000001E-2</v>
      </c>
      <c r="R55" s="12">
        <f t="shared" si="13"/>
        <v>2.3055619312497027</v>
      </c>
      <c r="S55" s="12">
        <f t="shared" si="14"/>
        <v>2929.6477414582168</v>
      </c>
    </row>
    <row r="56" spans="1:19" x14ac:dyDescent="0.25">
      <c r="A56" s="1">
        <v>54</v>
      </c>
      <c r="B56" s="6">
        <f t="shared" si="4"/>
        <v>0.13130000000000003</v>
      </c>
      <c r="C56" s="12">
        <f t="shared" si="5"/>
        <v>2.5255694771495709</v>
      </c>
      <c r="D56" s="12">
        <f t="shared" si="15"/>
        <v>1823.5106452015007</v>
      </c>
      <c r="E56" s="31"/>
      <c r="F56" s="1">
        <v>39</v>
      </c>
      <c r="G56" s="6">
        <f t="shared" si="6"/>
        <v>5.9500000000000004E-2</v>
      </c>
      <c r="H56" s="12">
        <f>SUM(G34:H34)</f>
        <v>1.1242481351143356</v>
      </c>
      <c r="I56" s="12">
        <f t="shared" si="8"/>
        <v>1789.4926640577064</v>
      </c>
      <c r="J56" s="31"/>
      <c r="K56" s="1">
        <v>24</v>
      </c>
      <c r="L56" s="6">
        <f t="shared" si="9"/>
        <v>9.2700000000000005E-2</v>
      </c>
      <c r="M56" s="12">
        <f t="shared" si="10"/>
        <v>1.934009404447139</v>
      </c>
      <c r="N56" s="12">
        <f t="shared" si="11"/>
        <v>1986.3100371598048</v>
      </c>
      <c r="O56" s="29"/>
      <c r="P56" s="1">
        <v>8</v>
      </c>
      <c r="Q56" s="6">
        <f t="shared" si="12"/>
        <v>7.8400000000000011E-2</v>
      </c>
      <c r="R56" s="12">
        <f t="shared" si="13"/>
        <v>3.3434992831872319</v>
      </c>
      <c r="S56" s="12">
        <f t="shared" si="14"/>
        <v>4164.6674530449382</v>
      </c>
    </row>
    <row r="57" spans="1:19" x14ac:dyDescent="0.25">
      <c r="A57" s="1">
        <v>53</v>
      </c>
      <c r="B57" s="6">
        <f t="shared" si="4"/>
        <v>2.7300000000000001E-2</v>
      </c>
      <c r="C57" s="12">
        <f t="shared" si="5"/>
        <v>1.7874300577689108</v>
      </c>
      <c r="D57" s="12">
        <f t="shared" si="15"/>
        <v>6447.3628489703688</v>
      </c>
      <c r="E57" s="31"/>
      <c r="F57" s="1">
        <v>38</v>
      </c>
      <c r="G57" s="6">
        <f t="shared" si="6"/>
        <v>5.16E-2</v>
      </c>
      <c r="H57" s="12">
        <f t="shared" si="7"/>
        <v>1.4449429965248617</v>
      </c>
      <c r="I57" s="12">
        <f t="shared" si="8"/>
        <v>2700.2771250481815</v>
      </c>
      <c r="J57" s="31"/>
      <c r="K57" s="1">
        <v>23</v>
      </c>
      <c r="L57" s="6">
        <f t="shared" si="9"/>
        <v>8.5400000000000004E-2</v>
      </c>
      <c r="M57" s="12">
        <f t="shared" si="10"/>
        <v>1.9081359937010935</v>
      </c>
      <c r="N57" s="12">
        <f t="shared" si="11"/>
        <v>2134.3512806804374</v>
      </c>
      <c r="O57" s="29"/>
      <c r="P57" s="1">
        <v>7</v>
      </c>
      <c r="Q57" s="6">
        <f t="shared" si="12"/>
        <v>3.61E-2</v>
      </c>
      <c r="R57" s="12">
        <f t="shared" si="13"/>
        <v>2.2496839256065919</v>
      </c>
      <c r="S57" s="12">
        <f t="shared" si="14"/>
        <v>6131.8114282731085</v>
      </c>
    </row>
    <row r="58" spans="1:19" x14ac:dyDescent="0.25">
      <c r="A58" s="1">
        <v>52</v>
      </c>
      <c r="B58" s="6">
        <f t="shared" si="4"/>
        <v>0.16900000000000001</v>
      </c>
      <c r="C58" s="12">
        <f t="shared" si="5"/>
        <v>2.7678018904846735</v>
      </c>
      <c r="D58" s="12">
        <f t="shared" si="15"/>
        <v>1537.7525979199249</v>
      </c>
      <c r="E58" s="31"/>
      <c r="F58" s="1">
        <v>37</v>
      </c>
      <c r="G58" s="6">
        <f t="shared" si="6"/>
        <v>4.8200000000000007E-2</v>
      </c>
      <c r="H58" s="12">
        <f>SUM(G36:H36)</f>
        <v>2.8839262896165998</v>
      </c>
      <c r="I58" s="12">
        <f t="shared" si="8"/>
        <v>5883.2495635199157</v>
      </c>
      <c r="J58" s="31"/>
      <c r="K58" s="1">
        <v>22</v>
      </c>
      <c r="L58" s="6">
        <f t="shared" si="9"/>
        <v>6.6000000000000003E-2</v>
      </c>
      <c r="M58" s="12">
        <f t="shared" si="10"/>
        <v>1.7604807631024464</v>
      </c>
      <c r="N58" s="12">
        <f t="shared" si="11"/>
        <v>2567.3950956097669</v>
      </c>
      <c r="O58" s="29"/>
      <c r="P58" s="1">
        <v>6</v>
      </c>
      <c r="Q58" s="6">
        <f t="shared" si="12"/>
        <v>0.16930000000000001</v>
      </c>
      <c r="R58" s="12">
        <f t="shared" si="13"/>
        <v>2.9386956344920274</v>
      </c>
      <c r="S58" s="12">
        <f t="shared" si="14"/>
        <v>1635.7918691624495</v>
      </c>
    </row>
    <row r="59" spans="1:19" x14ac:dyDescent="0.25">
      <c r="A59" s="1">
        <v>51</v>
      </c>
      <c r="B59" s="6">
        <f t="shared" si="4"/>
        <v>0.1145</v>
      </c>
      <c r="C59" s="12">
        <f t="shared" si="5"/>
        <v>2.2126656655455621</v>
      </c>
      <c r="D59" s="12">
        <f t="shared" si="15"/>
        <v>1832.4590965463422</v>
      </c>
      <c r="E59" s="31"/>
      <c r="F59" s="1">
        <v>36</v>
      </c>
      <c r="G59" s="6">
        <f t="shared" si="6"/>
        <v>6.0400000000000002E-2</v>
      </c>
      <c r="H59" s="12">
        <f t="shared" si="7"/>
        <v>5.1967742189867403</v>
      </c>
      <c r="I59" s="12">
        <f t="shared" si="8"/>
        <v>8503.9308261369879</v>
      </c>
      <c r="J59" s="31"/>
      <c r="K59" s="1">
        <v>21</v>
      </c>
      <c r="L59" s="6">
        <f t="shared" si="9"/>
        <v>0.16669999999999999</v>
      </c>
      <c r="M59" s="12">
        <f t="shared" si="10"/>
        <v>2.6258219994977279</v>
      </c>
      <c r="N59" s="12">
        <f t="shared" si="11"/>
        <v>1475.1781640658237</v>
      </c>
      <c r="O59" s="29"/>
      <c r="P59" s="1">
        <v>5</v>
      </c>
      <c r="Q59" s="6">
        <f t="shared" si="12"/>
        <v>7.1599999999999997E-2</v>
      </c>
      <c r="R59" s="12">
        <f t="shared" si="13"/>
        <v>3.1132275418292719</v>
      </c>
      <c r="S59" s="12">
        <f t="shared" si="14"/>
        <v>4248.0831589794298</v>
      </c>
    </row>
    <row r="60" spans="1:19" x14ac:dyDescent="0.25">
      <c r="A60" s="1">
        <v>50</v>
      </c>
      <c r="B60" s="6">
        <f t="shared" si="4"/>
        <v>6.5599999999999992E-2</v>
      </c>
      <c r="C60" s="12">
        <f t="shared" si="5"/>
        <v>2.1404807631024463</v>
      </c>
      <c r="D60" s="12">
        <f t="shared" si="15"/>
        <v>3162.9279925342175</v>
      </c>
      <c r="E60" s="31"/>
      <c r="F60" s="1">
        <v>35</v>
      </c>
      <c r="G60" s="6">
        <f t="shared" si="6"/>
        <v>6.08E-2</v>
      </c>
      <c r="H60" s="12">
        <f t="shared" si="7"/>
        <v>3.8807483772503404</v>
      </c>
      <c r="I60" s="12">
        <f t="shared" si="8"/>
        <v>6282.8098310038495</v>
      </c>
      <c r="J60" s="31"/>
      <c r="K60" s="1">
        <v>20</v>
      </c>
      <c r="L60" s="6">
        <f t="shared" si="9"/>
        <v>4.5700000000000005E-2</v>
      </c>
      <c r="M60" s="12">
        <f t="shared" si="10"/>
        <v>1.7834118073031267</v>
      </c>
      <c r="N60" s="12">
        <f t="shared" si="11"/>
        <v>3802.4328387376945</v>
      </c>
      <c r="O60" s="29"/>
      <c r="P60" s="1">
        <v>4</v>
      </c>
      <c r="Q60" s="6">
        <f t="shared" si="12"/>
        <v>0.11259999999999999</v>
      </c>
      <c r="R60" s="12">
        <f t="shared" si="13"/>
        <v>2.2447562547249671</v>
      </c>
      <c r="S60" s="12">
        <f t="shared" si="14"/>
        <v>1893.5668336811432</v>
      </c>
    </row>
    <row r="61" spans="1:19" x14ac:dyDescent="0.25">
      <c r="A61" s="1">
        <v>49</v>
      </c>
      <c r="B61" s="6">
        <f t="shared" si="4"/>
        <v>7.2900000000000006E-2</v>
      </c>
      <c r="C61" s="12">
        <f t="shared" si="5"/>
        <v>2.5004807631024462</v>
      </c>
      <c r="D61" s="12">
        <f t="shared" si="15"/>
        <v>3330.014764200886</v>
      </c>
      <c r="E61" s="31"/>
      <c r="F61" s="1">
        <v>34</v>
      </c>
      <c r="G61" s="6">
        <f t="shared" si="6"/>
        <v>8.6000000000000007E-2</v>
      </c>
      <c r="H61" s="12">
        <f t="shared" si="7"/>
        <v>3.5968369386002141</v>
      </c>
      <c r="I61" s="12">
        <f t="shared" si="8"/>
        <v>4082.3685332560631</v>
      </c>
      <c r="J61" s="31"/>
      <c r="K61" s="1">
        <v>19</v>
      </c>
      <c r="L61" s="6">
        <f t="shared" si="9"/>
        <v>0.16130000000000003</v>
      </c>
      <c r="M61" s="12">
        <f t="shared" si="10"/>
        <v>1.8473774773030951</v>
      </c>
      <c r="N61" s="12">
        <f t="shared" si="11"/>
        <v>1045.3053176088624</v>
      </c>
      <c r="O61" s="29"/>
      <c r="P61" s="1">
        <v>3</v>
      </c>
      <c r="Q61" s="6">
        <f t="shared" si="12"/>
        <v>0.10150000000000001</v>
      </c>
      <c r="R61" s="12">
        <f t="shared" si="13"/>
        <v>2.2468985989281749</v>
      </c>
      <c r="S61" s="12">
        <f t="shared" si="14"/>
        <v>2113.6932009144575</v>
      </c>
    </row>
    <row r="62" spans="1:19" x14ac:dyDescent="0.25">
      <c r="A62" s="1">
        <v>48</v>
      </c>
      <c r="B62" s="6">
        <f t="shared" si="4"/>
        <v>6.1600000000000002E-2</v>
      </c>
      <c r="C62" s="12">
        <f t="shared" si="5"/>
        <v>1.5847902077794933</v>
      </c>
      <c r="D62" s="12">
        <f t="shared" si="15"/>
        <v>2472.7113762654108</v>
      </c>
      <c r="E62" s="31"/>
      <c r="F62" s="1">
        <v>33</v>
      </c>
      <c r="G62" s="6">
        <f t="shared" si="6"/>
        <v>0.1447</v>
      </c>
      <c r="H62" s="12">
        <f t="shared" si="7"/>
        <v>7.6869110904903586</v>
      </c>
      <c r="I62" s="12">
        <f t="shared" si="8"/>
        <v>5212.3089775330736</v>
      </c>
      <c r="J62" s="31"/>
      <c r="K62" s="1">
        <v>18</v>
      </c>
      <c r="L62" s="6">
        <f t="shared" si="9"/>
        <v>7.51E-2</v>
      </c>
      <c r="M62" s="12">
        <f t="shared" si="10"/>
        <v>1.994008462083376</v>
      </c>
      <c r="N62" s="12">
        <f t="shared" si="11"/>
        <v>2555.1377657568255</v>
      </c>
      <c r="O62" s="29"/>
      <c r="P62" s="1">
        <v>2</v>
      </c>
      <c r="Q62" s="6">
        <f t="shared" si="12"/>
        <v>0.1477</v>
      </c>
      <c r="R62" s="12">
        <f t="shared" si="13"/>
        <v>2.6986192401193438</v>
      </c>
      <c r="S62" s="12">
        <f t="shared" si="14"/>
        <v>1727.0949493021963</v>
      </c>
    </row>
    <row r="63" spans="1:19" x14ac:dyDescent="0.25">
      <c r="A63" s="1">
        <v>47</v>
      </c>
      <c r="B63" s="6">
        <f t="shared" si="4"/>
        <v>9.2499999999999999E-2</v>
      </c>
      <c r="C63" s="12">
        <f t="shared" si="5"/>
        <v>1.901558064063392</v>
      </c>
      <c r="D63" s="12">
        <f t="shared" si="15"/>
        <v>1955.7384476360994</v>
      </c>
      <c r="E63" s="32"/>
      <c r="F63" s="15">
        <v>32</v>
      </c>
      <c r="G63" s="6">
        <f t="shared" si="6"/>
        <v>5.0799999999999998E-2</v>
      </c>
      <c r="H63" s="12">
        <f t="shared" si="7"/>
        <v>4.8156018962418203</v>
      </c>
      <c r="I63" s="12">
        <f t="shared" si="8"/>
        <v>9379.5312918146083</v>
      </c>
      <c r="J63" s="32"/>
      <c r="K63" s="15">
        <v>17</v>
      </c>
      <c r="L63" s="6">
        <f t="shared" si="9"/>
        <v>8.5300000000000001E-2</v>
      </c>
      <c r="M63" s="12">
        <f t="shared" si="10"/>
        <v>1.6578663779039235</v>
      </c>
      <c r="N63" s="12">
        <f t="shared" si="11"/>
        <v>1843.5713691722433</v>
      </c>
      <c r="O63" s="33"/>
      <c r="P63" s="15">
        <v>1</v>
      </c>
      <c r="Q63" s="6">
        <f t="shared" si="12"/>
        <v>0.1085</v>
      </c>
      <c r="R63" s="12">
        <f t="shared" si="13"/>
        <v>2.0659021703152285</v>
      </c>
      <c r="S63" s="12">
        <f t="shared" si="14"/>
        <v>1804.0572998297037</v>
      </c>
    </row>
    <row r="64" spans="1:19" x14ac:dyDescent="0.25">
      <c r="A64" s="1" t="s">
        <v>3</v>
      </c>
      <c r="B64" s="5">
        <f>SUM(B49:B63)</f>
        <v>1.2260000000000002</v>
      </c>
      <c r="C64" s="7">
        <f>SUM(C49:C63)</f>
        <v>32.918031857106151</v>
      </c>
      <c r="D64" s="12">
        <f>(C64-B64)/B64*100</f>
        <v>2584.9944418520513</v>
      </c>
      <c r="E64" s="31"/>
      <c r="F64" s="1" t="s">
        <v>3</v>
      </c>
      <c r="G64" s="5">
        <f>SUM(G49:G63)</f>
        <v>1.2534000000000001</v>
      </c>
      <c r="H64" s="7">
        <f>SUM(H49:H63)</f>
        <v>47.07337437964069</v>
      </c>
      <c r="I64" s="12">
        <f>(H64-G64)/G64*100</f>
        <v>3655.6545699410158</v>
      </c>
      <c r="J64" s="31"/>
      <c r="K64" s="1" t="s">
        <v>3</v>
      </c>
      <c r="L64" s="5">
        <f>SUM(L49:L63)</f>
        <v>1.5445</v>
      </c>
      <c r="M64" s="7">
        <f>SUM(M49:M63)</f>
        <v>28.957526445917615</v>
      </c>
      <c r="N64" s="12">
        <f>(M64-L64)/L64*100</f>
        <v>1774.8803137531638</v>
      </c>
      <c r="O64" s="29"/>
      <c r="P64" s="1" t="s">
        <v>3</v>
      </c>
      <c r="Q64" s="5">
        <f>SUM(Q49:Q63)</f>
        <v>1.4969000000000001</v>
      </c>
      <c r="R64" s="7">
        <f>SUM(R49:R63)</f>
        <v>37.994359096762715</v>
      </c>
      <c r="S64" s="12">
        <f>(R64-Q64)/Q64*100</f>
        <v>2438.2028924285328</v>
      </c>
    </row>
    <row r="65" spans="1:1" x14ac:dyDescent="0.25">
      <c r="A65" s="19"/>
    </row>
    <row r="89" spans="1:6" x14ac:dyDescent="0.25">
      <c r="A89" t="s">
        <v>69</v>
      </c>
      <c r="B89" t="s">
        <v>72</v>
      </c>
      <c r="C89" t="s">
        <v>71</v>
      </c>
      <c r="D89" t="s">
        <v>70</v>
      </c>
    </row>
    <row r="90" spans="1:6" x14ac:dyDescent="0.25">
      <c r="A90" t="s">
        <v>143</v>
      </c>
      <c r="B90" s="5">
        <f>B64</f>
        <v>1.2260000000000002</v>
      </c>
      <c r="C90" s="5">
        <f>C64</f>
        <v>32.918031857106151</v>
      </c>
      <c r="D90" s="5">
        <f>D64</f>
        <v>2584.9944418520513</v>
      </c>
    </row>
    <row r="91" spans="1:6" x14ac:dyDescent="0.25">
      <c r="A91" t="s">
        <v>144</v>
      </c>
      <c r="B91" s="5">
        <f>G64</f>
        <v>1.2534000000000001</v>
      </c>
      <c r="C91" s="5">
        <f>H64</f>
        <v>47.07337437964069</v>
      </c>
      <c r="D91" s="5">
        <f>I64</f>
        <v>3655.6545699410158</v>
      </c>
    </row>
    <row r="92" spans="1:6" x14ac:dyDescent="0.25">
      <c r="A92" t="s">
        <v>145</v>
      </c>
      <c r="B92" s="5">
        <f>L64</f>
        <v>1.5445</v>
      </c>
      <c r="C92" s="5">
        <f>M64</f>
        <v>28.957526445917615</v>
      </c>
      <c r="D92" s="5">
        <f>N64</f>
        <v>1774.8803137531638</v>
      </c>
    </row>
    <row r="93" spans="1:6" x14ac:dyDescent="0.25">
      <c r="A93" t="s">
        <v>146</v>
      </c>
      <c r="B93" s="5">
        <f>Q64</f>
        <v>1.4969000000000001</v>
      </c>
      <c r="C93" s="5">
        <f>R64</f>
        <v>37.994359096762715</v>
      </c>
      <c r="D93" s="5">
        <f>S64</f>
        <v>2438.2028924285328</v>
      </c>
    </row>
    <row r="95" spans="1:6" x14ac:dyDescent="0.25">
      <c r="A95" t="s">
        <v>69</v>
      </c>
      <c r="B95" t="s">
        <v>72</v>
      </c>
      <c r="C95" t="s">
        <v>71</v>
      </c>
      <c r="D95" t="s">
        <v>154</v>
      </c>
      <c r="E95" t="s">
        <v>155</v>
      </c>
      <c r="F95" t="s">
        <v>156</v>
      </c>
    </row>
    <row r="96" spans="1:6" x14ac:dyDescent="0.25">
      <c r="A96" t="s">
        <v>143</v>
      </c>
      <c r="B96">
        <v>1.2260000000000002</v>
      </c>
      <c r="C96">
        <v>32.918031857106151</v>
      </c>
      <c r="D96">
        <f>12*0.5</f>
        <v>6</v>
      </c>
      <c r="E96">
        <f>C96-B96</f>
        <v>31.692031857106151</v>
      </c>
      <c r="F96" s="5">
        <f>E96/D96</f>
        <v>5.2820053095176922</v>
      </c>
    </row>
    <row r="97" spans="1:6" x14ac:dyDescent="0.25">
      <c r="A97" t="s">
        <v>144</v>
      </c>
      <c r="B97">
        <v>1.2534000000000001</v>
      </c>
      <c r="C97">
        <v>47.07337437964069</v>
      </c>
      <c r="D97">
        <f t="shared" ref="D97:D99" si="16">12*0.5</f>
        <v>6</v>
      </c>
      <c r="E97">
        <f t="shared" ref="E97:E99" si="17">C97-B97</f>
        <v>45.819974379640691</v>
      </c>
      <c r="F97" s="5">
        <f>E97/D97</f>
        <v>7.6366623966067815</v>
      </c>
    </row>
    <row r="98" spans="1:6" x14ac:dyDescent="0.25">
      <c r="A98" t="s">
        <v>145</v>
      </c>
      <c r="B98">
        <v>1.5445</v>
      </c>
      <c r="C98">
        <v>28.957526445917615</v>
      </c>
      <c r="D98">
        <f t="shared" si="16"/>
        <v>6</v>
      </c>
      <c r="E98">
        <f t="shared" si="17"/>
        <v>27.413026445917616</v>
      </c>
      <c r="F98" s="5">
        <f t="shared" ref="F98:F99" si="18">E98/D98</f>
        <v>4.568837740986269</v>
      </c>
    </row>
    <row r="99" spans="1:6" x14ac:dyDescent="0.25">
      <c r="A99" t="s">
        <v>146</v>
      </c>
      <c r="B99">
        <v>1.4969000000000001</v>
      </c>
      <c r="C99">
        <v>37.994359096762715</v>
      </c>
      <c r="D99">
        <f t="shared" si="16"/>
        <v>6</v>
      </c>
      <c r="E99">
        <f t="shared" si="17"/>
        <v>36.497459096762711</v>
      </c>
      <c r="F99" s="5">
        <f t="shared" si="18"/>
        <v>6.0829098494604521</v>
      </c>
    </row>
    <row r="104" spans="1:6" x14ac:dyDescent="0.25">
      <c r="C104" t="s">
        <v>147</v>
      </c>
    </row>
    <row r="105" spans="1:6" x14ac:dyDescent="0.25">
      <c r="C105" t="s">
        <v>151</v>
      </c>
    </row>
    <row r="107" spans="1:6" x14ac:dyDescent="0.25">
      <c r="B107">
        <v>6</v>
      </c>
      <c r="C107" t="s">
        <v>148</v>
      </c>
      <c r="D107" t="s">
        <v>152</v>
      </c>
      <c r="E107">
        <f>1000*1</f>
        <v>1000</v>
      </c>
      <c r="F107">
        <f>E107/E108</f>
        <v>0.1</v>
      </c>
    </row>
    <row r="108" spans="1:6" x14ac:dyDescent="0.25">
      <c r="B108">
        <v>12</v>
      </c>
      <c r="C108" t="s">
        <v>149</v>
      </c>
      <c r="D108" t="s">
        <v>153</v>
      </c>
      <c r="E108">
        <f>1*10000</f>
        <v>10000</v>
      </c>
    </row>
    <row r="109" spans="1:6" x14ac:dyDescent="0.25">
      <c r="C109" t="s">
        <v>150</v>
      </c>
    </row>
  </sheetData>
  <mergeCells count="23">
    <mergeCell ref="A1:R1"/>
    <mergeCell ref="A45:R45"/>
    <mergeCell ref="K24:M24"/>
    <mergeCell ref="P24:R24"/>
    <mergeCell ref="A24:C24"/>
    <mergeCell ref="F24:H24"/>
    <mergeCell ref="A2:C2"/>
    <mergeCell ref="F2:H2"/>
    <mergeCell ref="K2:M2"/>
    <mergeCell ref="P2:R2"/>
    <mergeCell ref="A23:R23"/>
    <mergeCell ref="S47:S48"/>
    <mergeCell ref="P46:S46"/>
    <mergeCell ref="A47:A48"/>
    <mergeCell ref="F47:F48"/>
    <mergeCell ref="K47:K48"/>
    <mergeCell ref="P47:P48"/>
    <mergeCell ref="D47:D48"/>
    <mergeCell ref="A46:D46"/>
    <mergeCell ref="I47:I48"/>
    <mergeCell ref="F46:I46"/>
    <mergeCell ref="N47:N48"/>
    <mergeCell ref="K46:N46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99D1B-545F-445E-B1F0-EC350F6D2B8E}">
  <dimension ref="A1:L39"/>
  <sheetViews>
    <sheetView topLeftCell="A4" workbookViewId="0">
      <selection activeCell="Y38" sqref="Y38"/>
    </sheetView>
  </sheetViews>
  <sheetFormatPr defaultRowHeight="15" x14ac:dyDescent="0.25"/>
  <cols>
    <col min="2" max="2" width="12.7109375" bestFit="1" customWidth="1"/>
    <col min="3" max="3" width="12.7109375" customWidth="1"/>
    <col min="5" max="5" width="11.7109375" bestFit="1" customWidth="1"/>
    <col min="6" max="6" width="12.7109375" bestFit="1" customWidth="1"/>
    <col min="8" max="8" width="11.7109375" bestFit="1" customWidth="1"/>
    <col min="9" max="9" width="12.7109375" bestFit="1" customWidth="1"/>
    <col min="11" max="11" width="11.7109375" bestFit="1" customWidth="1"/>
    <col min="12" max="12" width="12.7109375" bestFit="1" customWidth="1"/>
  </cols>
  <sheetData>
    <row r="1" spans="1:12" x14ac:dyDescent="0.25">
      <c r="A1" s="45" t="s">
        <v>157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x14ac:dyDescent="0.25">
      <c r="A2" s="47" t="s">
        <v>136</v>
      </c>
      <c r="B2" s="48"/>
      <c r="C2" s="49"/>
      <c r="D2" s="47" t="s">
        <v>140</v>
      </c>
      <c r="E2" s="48"/>
      <c r="F2" s="49"/>
      <c r="G2" s="47" t="s">
        <v>141</v>
      </c>
      <c r="H2" s="48"/>
      <c r="I2" s="49"/>
      <c r="J2" s="46" t="s">
        <v>142</v>
      </c>
      <c r="K2" s="41"/>
      <c r="L2" s="41"/>
    </row>
    <row r="3" spans="1:12" x14ac:dyDescent="0.25">
      <c r="A3" s="26" t="s">
        <v>137</v>
      </c>
      <c r="B3" t="s">
        <v>138</v>
      </c>
      <c r="C3" t="s">
        <v>157</v>
      </c>
      <c r="D3" s="26" t="s">
        <v>137</v>
      </c>
      <c r="E3" t="s">
        <v>138</v>
      </c>
      <c r="F3" t="s">
        <v>157</v>
      </c>
      <c r="G3" s="26" t="s">
        <v>137</v>
      </c>
      <c r="H3" t="s">
        <v>138</v>
      </c>
      <c r="I3" t="s">
        <v>157</v>
      </c>
      <c r="J3" s="26" t="s">
        <v>137</v>
      </c>
      <c r="K3" t="s">
        <v>138</v>
      </c>
      <c r="L3" t="s">
        <v>157</v>
      </c>
    </row>
    <row r="4" spans="1:12" x14ac:dyDescent="0.25">
      <c r="A4" s="34">
        <v>61</v>
      </c>
      <c r="B4">
        <v>1180</v>
      </c>
      <c r="C4">
        <f>B4/1000</f>
        <v>1.18</v>
      </c>
      <c r="D4" s="34">
        <v>46</v>
      </c>
      <c r="E4" s="28">
        <v>480</v>
      </c>
      <c r="F4">
        <f>E4/1000</f>
        <v>0.48</v>
      </c>
      <c r="G4" s="26">
        <v>31</v>
      </c>
      <c r="H4">
        <v>1080</v>
      </c>
      <c r="I4">
        <f>H4/1000</f>
        <v>1.08</v>
      </c>
      <c r="J4" s="34">
        <v>16</v>
      </c>
      <c r="K4">
        <v>1040</v>
      </c>
      <c r="L4">
        <f>K4/1000</f>
        <v>1.04</v>
      </c>
    </row>
    <row r="5" spans="1:12" x14ac:dyDescent="0.25">
      <c r="A5" s="34">
        <v>60</v>
      </c>
      <c r="B5">
        <v>900</v>
      </c>
      <c r="C5">
        <f t="shared" ref="C5:C18" si="0">B5/1000</f>
        <v>0.9</v>
      </c>
      <c r="D5" s="34">
        <v>45</v>
      </c>
      <c r="E5" s="28">
        <v>160</v>
      </c>
      <c r="F5">
        <f t="shared" ref="F5:F18" si="1">E5/1000</f>
        <v>0.16</v>
      </c>
      <c r="G5" s="26">
        <v>30</v>
      </c>
      <c r="H5">
        <v>715</v>
      </c>
      <c r="I5">
        <f t="shared" ref="I5:I18" si="2">H5/1000</f>
        <v>0.71499999999999997</v>
      </c>
      <c r="J5" s="34">
        <v>15</v>
      </c>
      <c r="K5">
        <v>680</v>
      </c>
      <c r="L5">
        <f t="shared" ref="L5:L18" si="3">K5/1000</f>
        <v>0.68</v>
      </c>
    </row>
    <row r="6" spans="1:12" x14ac:dyDescent="0.25">
      <c r="A6" s="34">
        <v>59</v>
      </c>
      <c r="B6">
        <v>880</v>
      </c>
      <c r="C6">
        <f t="shared" si="0"/>
        <v>0.88</v>
      </c>
      <c r="D6" s="34">
        <v>44</v>
      </c>
      <c r="E6" s="28">
        <v>360</v>
      </c>
      <c r="F6">
        <f t="shared" si="1"/>
        <v>0.36</v>
      </c>
      <c r="G6" s="26">
        <v>29</v>
      </c>
      <c r="H6">
        <v>855</v>
      </c>
      <c r="I6">
        <f t="shared" si="2"/>
        <v>0.85499999999999998</v>
      </c>
      <c r="J6" s="34">
        <v>14</v>
      </c>
      <c r="K6">
        <v>1480</v>
      </c>
      <c r="L6">
        <f t="shared" si="3"/>
        <v>1.48</v>
      </c>
    </row>
    <row r="7" spans="1:12" x14ac:dyDescent="0.25">
      <c r="A7" s="34">
        <v>58</v>
      </c>
      <c r="B7">
        <v>920</v>
      </c>
      <c r="C7">
        <f t="shared" si="0"/>
        <v>0.92</v>
      </c>
      <c r="D7" s="34">
        <v>43</v>
      </c>
      <c r="E7" s="28">
        <v>325</v>
      </c>
      <c r="F7">
        <f t="shared" si="1"/>
        <v>0.32500000000000001</v>
      </c>
      <c r="G7" s="26">
        <v>28</v>
      </c>
      <c r="H7">
        <v>800</v>
      </c>
      <c r="I7">
        <f t="shared" si="2"/>
        <v>0.8</v>
      </c>
      <c r="J7" s="34">
        <v>12</v>
      </c>
      <c r="K7">
        <v>1200</v>
      </c>
      <c r="L7">
        <f t="shared" si="3"/>
        <v>1.2</v>
      </c>
    </row>
    <row r="8" spans="1:12" x14ac:dyDescent="0.25">
      <c r="A8" s="34">
        <v>57</v>
      </c>
      <c r="B8">
        <v>760</v>
      </c>
      <c r="C8">
        <f t="shared" si="0"/>
        <v>0.76</v>
      </c>
      <c r="D8" s="34">
        <v>42</v>
      </c>
      <c r="E8" s="28">
        <v>2075</v>
      </c>
      <c r="F8">
        <f t="shared" si="1"/>
        <v>2.0750000000000002</v>
      </c>
      <c r="G8" s="26">
        <v>27</v>
      </c>
      <c r="H8">
        <v>660</v>
      </c>
      <c r="I8">
        <f t="shared" si="2"/>
        <v>0.66</v>
      </c>
      <c r="J8" s="34">
        <v>11</v>
      </c>
      <c r="K8">
        <v>945</v>
      </c>
      <c r="L8">
        <f t="shared" si="3"/>
        <v>0.94499999999999995</v>
      </c>
    </row>
    <row r="9" spans="1:12" x14ac:dyDescent="0.25">
      <c r="A9" s="34">
        <v>56</v>
      </c>
      <c r="B9">
        <v>1000</v>
      </c>
      <c r="C9">
        <f t="shared" si="0"/>
        <v>1</v>
      </c>
      <c r="D9" s="34">
        <v>41</v>
      </c>
      <c r="E9" s="28">
        <v>2300</v>
      </c>
      <c r="F9">
        <f t="shared" si="1"/>
        <v>2.2999999999999998</v>
      </c>
      <c r="G9" s="26">
        <v>26</v>
      </c>
      <c r="H9">
        <v>900</v>
      </c>
      <c r="I9">
        <f t="shared" si="2"/>
        <v>0.9</v>
      </c>
      <c r="J9" s="34">
        <v>10</v>
      </c>
      <c r="K9">
        <v>600</v>
      </c>
      <c r="L9">
        <f t="shared" si="3"/>
        <v>0.6</v>
      </c>
    </row>
    <row r="10" spans="1:12" x14ac:dyDescent="0.25">
      <c r="A10" s="34">
        <v>55</v>
      </c>
      <c r="B10">
        <v>1160</v>
      </c>
      <c r="C10">
        <f t="shared" si="0"/>
        <v>1.1599999999999999</v>
      </c>
      <c r="D10" s="34">
        <v>40</v>
      </c>
      <c r="E10" s="28">
        <v>1420</v>
      </c>
      <c r="F10">
        <f t="shared" si="1"/>
        <v>1.42</v>
      </c>
      <c r="G10" s="26">
        <v>25</v>
      </c>
      <c r="H10">
        <v>920</v>
      </c>
      <c r="I10">
        <f t="shared" si="2"/>
        <v>0.92</v>
      </c>
      <c r="J10" s="34">
        <v>9</v>
      </c>
      <c r="K10">
        <v>900</v>
      </c>
      <c r="L10">
        <f t="shared" si="3"/>
        <v>0.9</v>
      </c>
    </row>
    <row r="11" spans="1:12" x14ac:dyDescent="0.25">
      <c r="A11" s="34">
        <v>54</v>
      </c>
      <c r="B11">
        <v>1140</v>
      </c>
      <c r="C11">
        <f t="shared" si="0"/>
        <v>1.1399999999999999</v>
      </c>
      <c r="D11" s="34">
        <v>39</v>
      </c>
      <c r="E11" s="28">
        <v>460</v>
      </c>
      <c r="F11">
        <f t="shared" si="1"/>
        <v>0.46</v>
      </c>
      <c r="G11" s="26">
        <v>24</v>
      </c>
      <c r="H11">
        <v>860</v>
      </c>
      <c r="I11">
        <f t="shared" si="2"/>
        <v>0.86</v>
      </c>
      <c r="J11" s="34">
        <v>8</v>
      </c>
      <c r="K11">
        <v>1380</v>
      </c>
      <c r="L11">
        <f t="shared" si="3"/>
        <v>1.38</v>
      </c>
    </row>
    <row r="12" spans="1:12" x14ac:dyDescent="0.25">
      <c r="A12" s="34">
        <v>53</v>
      </c>
      <c r="B12">
        <v>800</v>
      </c>
      <c r="C12">
        <f t="shared" si="0"/>
        <v>0.8</v>
      </c>
      <c r="D12" s="34">
        <v>38</v>
      </c>
      <c r="E12" s="28">
        <v>680</v>
      </c>
      <c r="F12">
        <f t="shared" si="1"/>
        <v>0.68</v>
      </c>
      <c r="G12" s="26">
        <v>23</v>
      </c>
      <c r="H12">
        <v>720</v>
      </c>
      <c r="I12">
        <f t="shared" si="2"/>
        <v>0.72</v>
      </c>
      <c r="J12" s="34">
        <v>7</v>
      </c>
      <c r="K12">
        <v>900</v>
      </c>
      <c r="L12">
        <f t="shared" si="3"/>
        <v>0.9</v>
      </c>
    </row>
    <row r="13" spans="1:12" x14ac:dyDescent="0.25">
      <c r="A13" s="34">
        <v>52</v>
      </c>
      <c r="B13">
        <v>1360</v>
      </c>
      <c r="C13">
        <f t="shared" si="0"/>
        <v>1.36</v>
      </c>
      <c r="D13" s="34">
        <v>37</v>
      </c>
      <c r="E13" s="28">
        <v>1240</v>
      </c>
      <c r="F13">
        <f t="shared" si="1"/>
        <v>1.24</v>
      </c>
      <c r="G13" s="26">
        <v>22</v>
      </c>
      <c r="H13">
        <v>775</v>
      </c>
      <c r="I13">
        <f t="shared" si="2"/>
        <v>0.77500000000000002</v>
      </c>
      <c r="J13" s="34">
        <v>6</v>
      </c>
      <c r="K13">
        <v>1210</v>
      </c>
      <c r="L13">
        <f t="shared" si="3"/>
        <v>1.21</v>
      </c>
    </row>
    <row r="14" spans="1:12" x14ac:dyDescent="0.25">
      <c r="A14" s="34">
        <v>51</v>
      </c>
      <c r="B14">
        <v>1020</v>
      </c>
      <c r="C14">
        <f t="shared" si="0"/>
        <v>1.02</v>
      </c>
      <c r="D14" s="34">
        <v>36</v>
      </c>
      <c r="E14" s="28">
        <v>2500</v>
      </c>
      <c r="F14">
        <f t="shared" si="1"/>
        <v>2.5</v>
      </c>
      <c r="G14" s="26">
        <v>21</v>
      </c>
      <c r="H14">
        <v>1090</v>
      </c>
      <c r="I14">
        <f t="shared" si="2"/>
        <v>1.0900000000000001</v>
      </c>
      <c r="J14" s="34">
        <v>5</v>
      </c>
      <c r="K14">
        <v>1290</v>
      </c>
      <c r="L14">
        <f t="shared" si="3"/>
        <v>1.29</v>
      </c>
    </row>
    <row r="15" spans="1:12" x14ac:dyDescent="0.25">
      <c r="A15" s="34">
        <v>50</v>
      </c>
      <c r="B15">
        <v>1020</v>
      </c>
      <c r="C15">
        <f t="shared" si="0"/>
        <v>1.02</v>
      </c>
      <c r="D15" s="34">
        <v>35</v>
      </c>
      <c r="E15" s="28">
        <v>2000</v>
      </c>
      <c r="F15">
        <f t="shared" si="1"/>
        <v>2</v>
      </c>
      <c r="G15" s="26">
        <v>20</v>
      </c>
      <c r="H15">
        <v>760</v>
      </c>
      <c r="I15">
        <f t="shared" si="2"/>
        <v>0.76</v>
      </c>
      <c r="J15" s="34">
        <v>4</v>
      </c>
      <c r="K15">
        <v>920</v>
      </c>
      <c r="L15">
        <f t="shared" si="3"/>
        <v>0.92</v>
      </c>
    </row>
    <row r="16" spans="1:12" x14ac:dyDescent="0.25">
      <c r="A16" s="34">
        <v>49</v>
      </c>
      <c r="B16">
        <v>1200</v>
      </c>
      <c r="C16">
        <f t="shared" si="0"/>
        <v>1.2</v>
      </c>
      <c r="D16" s="34">
        <v>34</v>
      </c>
      <c r="E16" s="28">
        <v>1580</v>
      </c>
      <c r="F16">
        <f t="shared" si="1"/>
        <v>1.58</v>
      </c>
      <c r="G16" s="26">
        <v>19</v>
      </c>
      <c r="H16">
        <v>840</v>
      </c>
      <c r="I16">
        <f t="shared" si="2"/>
        <v>0.84</v>
      </c>
      <c r="J16" s="34">
        <v>3</v>
      </c>
      <c r="K16">
        <v>920</v>
      </c>
      <c r="L16">
        <f t="shared" si="3"/>
        <v>0.92</v>
      </c>
    </row>
    <row r="17" spans="1:12" x14ac:dyDescent="0.25">
      <c r="A17" s="34">
        <v>48</v>
      </c>
      <c r="B17">
        <v>740</v>
      </c>
      <c r="C17">
        <f t="shared" si="0"/>
        <v>0.74</v>
      </c>
      <c r="D17" s="34">
        <v>33</v>
      </c>
      <c r="E17" s="28">
        <v>3680</v>
      </c>
      <c r="F17">
        <f t="shared" si="1"/>
        <v>3.68</v>
      </c>
      <c r="G17" s="26">
        <v>18</v>
      </c>
      <c r="H17">
        <v>900</v>
      </c>
      <c r="I17">
        <f t="shared" si="2"/>
        <v>0.9</v>
      </c>
      <c r="J17" s="34">
        <v>2</v>
      </c>
      <c r="K17">
        <v>1100</v>
      </c>
      <c r="L17">
        <f t="shared" si="3"/>
        <v>1.1000000000000001</v>
      </c>
    </row>
    <row r="18" spans="1:12" x14ac:dyDescent="0.25">
      <c r="A18" s="34">
        <v>47</v>
      </c>
      <c r="B18">
        <v>860</v>
      </c>
      <c r="C18">
        <f t="shared" si="0"/>
        <v>0.86</v>
      </c>
      <c r="D18" s="34">
        <v>32</v>
      </c>
      <c r="E18" s="28">
        <v>2020</v>
      </c>
      <c r="F18">
        <f t="shared" si="1"/>
        <v>2.02</v>
      </c>
      <c r="G18" s="26">
        <v>17</v>
      </c>
      <c r="H18">
        <v>720</v>
      </c>
      <c r="I18">
        <f t="shared" si="2"/>
        <v>0.72</v>
      </c>
      <c r="J18" s="34">
        <v>1</v>
      </c>
      <c r="K18">
        <v>900</v>
      </c>
      <c r="L18">
        <f t="shared" si="3"/>
        <v>0.9</v>
      </c>
    </row>
    <row r="19" spans="1:12" x14ac:dyDescent="0.25">
      <c r="A19" s="35" t="s">
        <v>139</v>
      </c>
      <c r="B19" s="36">
        <f>SUM(B4:B18)</f>
        <v>14940</v>
      </c>
      <c r="C19" s="36">
        <f>SUM(C4:C18)</f>
        <v>14.939999999999998</v>
      </c>
      <c r="D19" s="35" t="s">
        <v>139</v>
      </c>
      <c r="E19" s="36">
        <f>SUM(E4:E18)</f>
        <v>21280</v>
      </c>
      <c r="F19" s="36">
        <f>SUM(F4:F18)</f>
        <v>21.28</v>
      </c>
      <c r="G19" s="35" t="s">
        <v>139</v>
      </c>
      <c r="H19" s="36">
        <f>SUM(H4:H18)</f>
        <v>12595</v>
      </c>
      <c r="I19" s="36">
        <f>SUM(I4:I18)</f>
        <v>12.595000000000001</v>
      </c>
      <c r="J19" s="35" t="s">
        <v>139</v>
      </c>
      <c r="K19" s="36">
        <f>SUM(K4:K18)</f>
        <v>15465</v>
      </c>
      <c r="L19" s="36">
        <f>SUM(L4:L18)</f>
        <v>15.465</v>
      </c>
    </row>
    <row r="20" spans="1:12" x14ac:dyDescent="0.25">
      <c r="A20" s="38"/>
      <c r="B20" s="39"/>
      <c r="C20" s="39"/>
      <c r="D20" s="38"/>
      <c r="E20" s="39"/>
      <c r="F20" s="39"/>
      <c r="G20" s="38"/>
      <c r="H20" s="39"/>
      <c r="I20" s="39"/>
      <c r="J20" s="38"/>
      <c r="K20" s="39"/>
      <c r="L20" s="39"/>
    </row>
    <row r="21" spans="1:12" x14ac:dyDescent="0.25">
      <c r="A21" s="45" t="s">
        <v>158</v>
      </c>
      <c r="B21" s="45"/>
      <c r="C21" s="45"/>
      <c r="D21" s="45"/>
      <c r="E21" s="45"/>
      <c r="F21" s="45"/>
      <c r="G21" s="45"/>
      <c r="H21" s="45"/>
    </row>
    <row r="22" spans="1:12" x14ac:dyDescent="0.25">
      <c r="A22" s="41" t="s">
        <v>4</v>
      </c>
      <c r="B22" s="41"/>
      <c r="C22" s="41" t="s">
        <v>5</v>
      </c>
      <c r="D22" s="41"/>
      <c r="E22" s="41" t="s">
        <v>6</v>
      </c>
      <c r="F22" s="41"/>
      <c r="G22" s="41" t="s">
        <v>7</v>
      </c>
      <c r="H22" s="41"/>
    </row>
    <row r="23" spans="1:12" x14ac:dyDescent="0.25">
      <c r="A23" t="s">
        <v>0</v>
      </c>
      <c r="B23" t="s">
        <v>158</v>
      </c>
      <c r="C23" t="s">
        <v>0</v>
      </c>
      <c r="D23" t="s">
        <v>158</v>
      </c>
      <c r="E23" t="s">
        <v>0</v>
      </c>
      <c r="F23" t="s">
        <v>158</v>
      </c>
      <c r="G23" t="s">
        <v>0</v>
      </c>
      <c r="H23" t="s">
        <v>158</v>
      </c>
    </row>
    <row r="24" spans="1:12" x14ac:dyDescent="0.25">
      <c r="A24">
        <v>61</v>
      </c>
      <c r="B24" s="37">
        <v>2.7484920330866198</v>
      </c>
      <c r="C24">
        <v>46</v>
      </c>
      <c r="D24" s="37">
        <v>1.2603746598070518</v>
      </c>
      <c r="E24">
        <v>31</v>
      </c>
      <c r="F24" s="37">
        <v>2.5340619849129546</v>
      </c>
      <c r="G24">
        <v>16</v>
      </c>
      <c r="H24" s="37">
        <v>3.163786585779369</v>
      </c>
    </row>
    <row r="25" spans="1:12" x14ac:dyDescent="0.25">
      <c r="A25">
        <v>60</v>
      </c>
      <c r="B25" s="37">
        <v>2.1030545917103374</v>
      </c>
      <c r="C25">
        <v>45</v>
      </c>
      <c r="D25" s="37">
        <v>0.27570328771840036</v>
      </c>
      <c r="E25">
        <v>30</v>
      </c>
      <c r="F25" s="37">
        <v>1.7443810015719607</v>
      </c>
      <c r="G25">
        <v>15</v>
      </c>
      <c r="H25" s="37">
        <v>2.0686526015753564</v>
      </c>
    </row>
    <row r="26" spans="1:12" x14ac:dyDescent="0.25">
      <c r="A26">
        <v>59</v>
      </c>
      <c r="B26" s="37">
        <v>1.9082788841320677</v>
      </c>
      <c r="C26">
        <v>44</v>
      </c>
      <c r="D26" s="37">
        <v>0.96896808437025106</v>
      </c>
      <c r="E26">
        <v>29</v>
      </c>
      <c r="F26" s="37">
        <v>2.3525060394205886</v>
      </c>
      <c r="G26">
        <v>14</v>
      </c>
      <c r="H26" s="37">
        <v>3.442110743563207</v>
      </c>
    </row>
    <row r="27" spans="1:12" x14ac:dyDescent="0.25">
      <c r="A27">
        <v>58</v>
      </c>
      <c r="B27" s="37">
        <v>1.9341298910220073</v>
      </c>
      <c r="C27">
        <v>43</v>
      </c>
      <c r="D27" s="37">
        <v>0.83863786753063307</v>
      </c>
      <c r="E27">
        <v>28</v>
      </c>
      <c r="F27" s="37">
        <v>1.3074300577689109</v>
      </c>
      <c r="G27">
        <v>12</v>
      </c>
      <c r="H27" s="37">
        <v>2.1662376905721752</v>
      </c>
    </row>
    <row r="28" spans="1:12" x14ac:dyDescent="0.25">
      <c r="A28">
        <v>57</v>
      </c>
      <c r="B28" s="37">
        <v>1.6537962554925867</v>
      </c>
      <c r="C28">
        <v>42</v>
      </c>
      <c r="D28" s="37">
        <v>4.6695549507680916</v>
      </c>
      <c r="E28">
        <v>27</v>
      </c>
      <c r="F28" s="37">
        <v>1.4600707332003418</v>
      </c>
      <c r="G28">
        <v>11</v>
      </c>
      <c r="H28" s="37">
        <v>2.4031029280443374</v>
      </c>
    </row>
    <row r="29" spans="1:12" x14ac:dyDescent="0.25">
      <c r="A29">
        <v>56</v>
      </c>
      <c r="B29" s="37">
        <v>2.6944863980945333</v>
      </c>
      <c r="C29">
        <v>41</v>
      </c>
      <c r="D29" s="37">
        <v>5.2487624743258037</v>
      </c>
      <c r="E29">
        <v>26</v>
      </c>
      <c r="F29" s="37">
        <v>1.9937962554925868</v>
      </c>
      <c r="G29">
        <v>10</v>
      </c>
      <c r="H29" s="37">
        <v>1.5436239667757274</v>
      </c>
    </row>
    <row r="30" spans="1:12" x14ac:dyDescent="0.25">
      <c r="A30">
        <v>55</v>
      </c>
      <c r="B30" s="37">
        <v>2.4550169145715057</v>
      </c>
      <c r="C30">
        <v>40</v>
      </c>
      <c r="D30" s="37">
        <v>3.1813831122951819</v>
      </c>
      <c r="E30">
        <v>25</v>
      </c>
      <c r="F30" s="37">
        <v>2.0541680882083493</v>
      </c>
      <c r="G30">
        <v>9</v>
      </c>
      <c r="H30" s="37">
        <v>2.3055619312497027</v>
      </c>
    </row>
    <row r="31" spans="1:12" x14ac:dyDescent="0.25">
      <c r="A31">
        <v>54</v>
      </c>
      <c r="B31" s="37">
        <v>2.5255694771495709</v>
      </c>
      <c r="C31">
        <v>39</v>
      </c>
      <c r="D31" s="37">
        <v>1.1242481351143356</v>
      </c>
      <c r="E31">
        <v>24</v>
      </c>
      <c r="F31" s="37">
        <v>1.934009404447139</v>
      </c>
      <c r="G31">
        <v>8</v>
      </c>
      <c r="H31" s="37">
        <v>3.3434992831872319</v>
      </c>
    </row>
    <row r="32" spans="1:12" x14ac:dyDescent="0.25">
      <c r="A32">
        <v>53</v>
      </c>
      <c r="B32" s="37">
        <v>1.7874300577689108</v>
      </c>
      <c r="C32">
        <v>38</v>
      </c>
      <c r="D32" s="37">
        <v>1.4449429965248617</v>
      </c>
      <c r="E32">
        <v>23</v>
      </c>
      <c r="F32" s="37">
        <v>1.9081359937010935</v>
      </c>
      <c r="G32">
        <v>7</v>
      </c>
      <c r="H32" s="37">
        <v>2.2496839256065919</v>
      </c>
    </row>
    <row r="33" spans="1:8" x14ac:dyDescent="0.25">
      <c r="A33">
        <v>52</v>
      </c>
      <c r="B33" s="37">
        <v>2.7678018904846735</v>
      </c>
      <c r="C33">
        <v>37</v>
      </c>
      <c r="D33" s="37">
        <v>2.8839262896165998</v>
      </c>
      <c r="E33">
        <v>22</v>
      </c>
      <c r="F33" s="37">
        <v>1.7604807631024464</v>
      </c>
      <c r="G33">
        <v>6</v>
      </c>
      <c r="H33" s="37">
        <v>2.9386956344920274</v>
      </c>
    </row>
    <row r="34" spans="1:8" x14ac:dyDescent="0.25">
      <c r="A34">
        <v>51</v>
      </c>
      <c r="B34" s="37">
        <v>2.2126656655455621</v>
      </c>
      <c r="C34">
        <v>36</v>
      </c>
      <c r="D34" s="37">
        <v>5.1967742189867403</v>
      </c>
      <c r="E34">
        <v>21</v>
      </c>
      <c r="F34" s="37">
        <v>2.6258219994977279</v>
      </c>
      <c r="G34">
        <v>5</v>
      </c>
      <c r="H34" s="37">
        <v>3.1132275418292719</v>
      </c>
    </row>
    <row r="35" spans="1:8" x14ac:dyDescent="0.25">
      <c r="A35">
        <v>50</v>
      </c>
      <c r="B35" s="37">
        <v>2.1404807631024463</v>
      </c>
      <c r="C35">
        <v>35</v>
      </c>
      <c r="D35" s="37">
        <v>3.8807483772503404</v>
      </c>
      <c r="E35">
        <v>20</v>
      </c>
      <c r="F35" s="37">
        <v>1.7834118073031267</v>
      </c>
      <c r="G35">
        <v>4</v>
      </c>
      <c r="H35" s="37">
        <v>2.2447562547249671</v>
      </c>
    </row>
    <row r="36" spans="1:8" x14ac:dyDescent="0.25">
      <c r="A36">
        <v>49</v>
      </c>
      <c r="B36" s="37">
        <v>2.5004807631024462</v>
      </c>
      <c r="C36">
        <v>34</v>
      </c>
      <c r="D36" s="37">
        <v>3.5968369386002141</v>
      </c>
      <c r="E36">
        <v>19</v>
      </c>
      <c r="F36" s="37">
        <v>1.8473774773030951</v>
      </c>
      <c r="G36">
        <v>3</v>
      </c>
      <c r="H36" s="37">
        <v>2.2468985989281749</v>
      </c>
    </row>
    <row r="37" spans="1:8" x14ac:dyDescent="0.25">
      <c r="A37">
        <v>48</v>
      </c>
      <c r="B37" s="37">
        <v>1.5847902077794933</v>
      </c>
      <c r="C37">
        <v>33</v>
      </c>
      <c r="D37" s="37">
        <v>7.6869110904903586</v>
      </c>
      <c r="E37">
        <v>18</v>
      </c>
      <c r="F37" s="37">
        <v>1.994008462083376</v>
      </c>
      <c r="G37">
        <v>2</v>
      </c>
      <c r="H37" s="37">
        <v>2.6986192401193438</v>
      </c>
    </row>
    <row r="38" spans="1:8" x14ac:dyDescent="0.25">
      <c r="A38">
        <v>47</v>
      </c>
      <c r="B38" s="37">
        <v>1.901558064063392</v>
      </c>
      <c r="C38">
        <v>32</v>
      </c>
      <c r="D38" s="37">
        <v>4.8156018962418203</v>
      </c>
      <c r="E38">
        <v>17</v>
      </c>
      <c r="F38" s="37">
        <v>1.6578663779039235</v>
      </c>
      <c r="G38">
        <v>1</v>
      </c>
      <c r="H38" s="37">
        <v>2.0659021703152285</v>
      </c>
    </row>
    <row r="39" spans="1:8" x14ac:dyDescent="0.25">
      <c r="A39" s="19" t="s">
        <v>3</v>
      </c>
      <c r="B39" s="37">
        <v>32.918031857106151</v>
      </c>
      <c r="C39" s="19" t="s">
        <v>3</v>
      </c>
      <c r="D39" s="37">
        <v>47.07337437964069</v>
      </c>
      <c r="E39" s="19" t="s">
        <v>3</v>
      </c>
      <c r="F39" s="37">
        <v>28.957526445917615</v>
      </c>
      <c r="G39" s="19" t="s">
        <v>3</v>
      </c>
      <c r="H39" s="37">
        <v>37.994359096762715</v>
      </c>
    </row>
  </sheetData>
  <mergeCells count="10">
    <mergeCell ref="A1:L1"/>
    <mergeCell ref="A22:B22"/>
    <mergeCell ref="C22:D22"/>
    <mergeCell ref="E22:F22"/>
    <mergeCell ref="G22:H22"/>
    <mergeCell ref="A21:H21"/>
    <mergeCell ref="J2:L2"/>
    <mergeCell ref="G2:I2"/>
    <mergeCell ref="D2:F2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26578-5123-45E5-8D29-309A41F7E2FE}">
  <dimension ref="A1:AT52"/>
  <sheetViews>
    <sheetView topLeftCell="A39" workbookViewId="0">
      <selection activeCell="AG74" sqref="AG74"/>
    </sheetView>
  </sheetViews>
  <sheetFormatPr defaultRowHeight="15" x14ac:dyDescent="0.25"/>
  <cols>
    <col min="1" max="1" width="16.140625" bestFit="1" customWidth="1"/>
    <col min="2" max="2" width="12.85546875" bestFit="1" customWidth="1"/>
    <col min="3" max="3" width="12.85546875" customWidth="1"/>
    <col min="4" max="4" width="12.85546875" bestFit="1" customWidth="1"/>
    <col min="5" max="10" width="12.85546875" customWidth="1"/>
    <col min="11" max="11" width="10.42578125" bestFit="1" customWidth="1"/>
    <col min="12" max="12" width="16.140625" bestFit="1" customWidth="1"/>
    <col min="13" max="13" width="12.85546875" bestFit="1" customWidth="1"/>
    <col min="14" max="14" width="12.85546875" customWidth="1"/>
    <col min="15" max="15" width="12.85546875" bestFit="1" customWidth="1"/>
    <col min="16" max="20" width="12.85546875" customWidth="1"/>
    <col min="21" max="21" width="10.42578125" bestFit="1" customWidth="1"/>
    <col min="22" max="22" width="10.42578125" customWidth="1"/>
    <col min="23" max="23" width="16.140625" bestFit="1" customWidth="1"/>
    <col min="24" max="24" width="12.85546875" bestFit="1" customWidth="1"/>
    <col min="25" max="25" width="12.85546875" customWidth="1"/>
    <col min="26" max="26" width="12.85546875" bestFit="1" customWidth="1"/>
    <col min="27" max="27" width="12.85546875" customWidth="1"/>
    <col min="28" max="28" width="13.7109375" bestFit="1" customWidth="1"/>
    <col min="29" max="29" width="12.7109375" bestFit="1" customWidth="1"/>
    <col min="30" max="35" width="12.7109375" customWidth="1"/>
    <col min="36" max="36" width="10.7109375" bestFit="1" customWidth="1"/>
    <col min="37" max="37" width="10.7109375" customWidth="1"/>
    <col min="38" max="38" width="16.140625" bestFit="1" customWidth="1"/>
    <col min="39" max="39" width="12.85546875" bestFit="1" customWidth="1"/>
    <col min="40" max="40" width="12.85546875" customWidth="1"/>
    <col min="41" max="41" width="12.85546875" bestFit="1" customWidth="1"/>
    <col min="42" max="42" width="12.85546875" customWidth="1"/>
    <col min="43" max="43" width="13.7109375" bestFit="1" customWidth="1"/>
    <col min="44" max="44" width="12.7109375" bestFit="1" customWidth="1"/>
    <col min="45" max="45" width="10.7109375" bestFit="1" customWidth="1"/>
    <col min="46" max="46" width="10.7109375" customWidth="1"/>
  </cols>
  <sheetData>
    <row r="1" spans="1:46" x14ac:dyDescent="0.25">
      <c r="A1" s="44" t="s">
        <v>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25"/>
    </row>
    <row r="2" spans="1:46" x14ac:dyDescent="0.25">
      <c r="A2" s="41" t="s">
        <v>4</v>
      </c>
      <c r="B2" s="41"/>
      <c r="C2" s="41"/>
      <c r="D2" s="41"/>
      <c r="E2" s="41"/>
      <c r="F2" s="41"/>
      <c r="G2" s="41"/>
      <c r="H2" s="41"/>
      <c r="I2" s="41"/>
      <c r="J2" s="41"/>
      <c r="K2" s="42"/>
      <c r="L2" s="41" t="s">
        <v>5</v>
      </c>
      <c r="M2" s="41"/>
      <c r="N2" s="41"/>
      <c r="O2" s="41"/>
      <c r="P2" s="41"/>
      <c r="Q2" s="41"/>
      <c r="R2" s="41"/>
      <c r="S2" s="41"/>
      <c r="T2" s="41"/>
      <c r="U2" s="42"/>
      <c r="V2" s="8"/>
      <c r="W2" s="41" t="s">
        <v>6</v>
      </c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2"/>
      <c r="AK2" s="8"/>
      <c r="AL2" s="41" t="s">
        <v>7</v>
      </c>
      <c r="AM2" s="41"/>
      <c r="AN2" s="41"/>
      <c r="AO2" s="41"/>
      <c r="AP2" s="41"/>
      <c r="AQ2" s="41"/>
      <c r="AR2" s="41"/>
      <c r="AS2" s="42"/>
      <c r="AT2" s="8"/>
    </row>
    <row r="3" spans="1:46" x14ac:dyDescent="0.25">
      <c r="A3" s="1" t="s">
        <v>19</v>
      </c>
      <c r="B3" s="1" t="s">
        <v>10</v>
      </c>
      <c r="D3" s="1" t="s">
        <v>15</v>
      </c>
      <c r="F3" s="1" t="s">
        <v>11</v>
      </c>
      <c r="H3" s="1" t="s">
        <v>16</v>
      </c>
      <c r="I3" s="1"/>
      <c r="J3" s="1" t="s">
        <v>43</v>
      </c>
      <c r="K3" s="28"/>
      <c r="L3" s="1" t="s">
        <v>19</v>
      </c>
      <c r="M3" s="1" t="s">
        <v>10</v>
      </c>
      <c r="O3" s="1" t="s">
        <v>15</v>
      </c>
      <c r="Q3" s="1" t="s">
        <v>11</v>
      </c>
      <c r="R3" s="1" t="s">
        <v>16</v>
      </c>
      <c r="S3" s="1" t="s">
        <v>12</v>
      </c>
      <c r="T3" s="1" t="s">
        <v>17</v>
      </c>
      <c r="U3" s="23" t="s">
        <v>43</v>
      </c>
      <c r="V3" s="28"/>
      <c r="W3" s="1" t="s">
        <v>19</v>
      </c>
      <c r="X3" s="1" t="s">
        <v>10</v>
      </c>
      <c r="Z3" s="1" t="s">
        <v>15</v>
      </c>
      <c r="AB3" s="1" t="s">
        <v>11</v>
      </c>
      <c r="AD3" s="1" t="s">
        <v>16</v>
      </c>
      <c r="AF3" s="1" t="s">
        <v>12</v>
      </c>
      <c r="AG3" s="1" t="s">
        <v>17</v>
      </c>
      <c r="AH3" s="1" t="s">
        <v>13</v>
      </c>
      <c r="AI3" s="1" t="s">
        <v>18</v>
      </c>
      <c r="AJ3" s="1" t="s">
        <v>43</v>
      </c>
      <c r="AK3" s="28"/>
      <c r="AL3" s="1" t="s">
        <v>19</v>
      </c>
      <c r="AM3" s="1" t="s">
        <v>10</v>
      </c>
      <c r="AN3" s="1" t="s">
        <v>15</v>
      </c>
      <c r="AO3" s="1" t="s">
        <v>11</v>
      </c>
      <c r="AP3" s="1" t="s">
        <v>16</v>
      </c>
      <c r="AQ3" s="1" t="s">
        <v>12</v>
      </c>
      <c r="AR3" s="1" t="s">
        <v>17</v>
      </c>
      <c r="AS3" s="1" t="s">
        <v>14</v>
      </c>
      <c r="AT3" s="28"/>
    </row>
    <row r="4" spans="1:46" x14ac:dyDescent="0.25">
      <c r="A4" s="19">
        <v>61</v>
      </c>
      <c r="B4" s="20">
        <v>98</v>
      </c>
      <c r="D4" s="21">
        <f t="shared" ref="D4:D18" si="0">B4*0.01</f>
        <v>0.98</v>
      </c>
      <c r="F4" s="21"/>
      <c r="H4" s="21"/>
      <c r="I4" s="21"/>
      <c r="J4" s="21">
        <f t="shared" ref="J4:J18" si="1">MAX(D4,H4)</f>
        <v>0.98</v>
      </c>
      <c r="K4" s="28"/>
      <c r="L4" s="19">
        <v>46</v>
      </c>
      <c r="M4" s="20">
        <v>97</v>
      </c>
      <c r="O4" s="21">
        <f t="shared" ref="O4:O18" si="2">M4*0.01</f>
        <v>0.97</v>
      </c>
      <c r="Q4" s="21"/>
      <c r="R4" s="21"/>
      <c r="S4" s="21"/>
      <c r="T4" s="21"/>
      <c r="U4" s="21">
        <f t="shared" ref="U4:U17" si="3">MAX(O4,R4, T4)</f>
        <v>0.97</v>
      </c>
      <c r="W4" s="19">
        <v>31</v>
      </c>
      <c r="X4" s="20">
        <v>80</v>
      </c>
      <c r="Z4" s="21">
        <f t="shared" ref="Z4:Z18" si="4">X4*0.01</f>
        <v>0.8</v>
      </c>
      <c r="AB4" s="21">
        <v>90</v>
      </c>
      <c r="AD4" s="21">
        <f>AB4*0.01</f>
        <v>0.9</v>
      </c>
      <c r="AF4" s="21"/>
      <c r="AG4" s="21"/>
      <c r="AH4" s="21"/>
      <c r="AI4" s="21"/>
      <c r="AJ4" s="21">
        <f t="shared" ref="AJ4:AJ16" si="5">MAX(Z4,AD4, AG4, AI4)</f>
        <v>0.9</v>
      </c>
      <c r="AL4" s="19">
        <v>16</v>
      </c>
      <c r="AM4" s="21">
        <v>88</v>
      </c>
      <c r="AN4" s="21">
        <f>AM4*0.01</f>
        <v>0.88</v>
      </c>
      <c r="AO4" s="21">
        <v>101</v>
      </c>
      <c r="AP4" s="21">
        <f>AO4*0.01</f>
        <v>1.01</v>
      </c>
      <c r="AQ4" s="21"/>
      <c r="AR4" s="21"/>
      <c r="AS4" s="21">
        <f>MAX(AN4, AP4, AR4)</f>
        <v>1.01</v>
      </c>
    </row>
    <row r="5" spans="1:46" x14ac:dyDescent="0.25">
      <c r="A5" s="19">
        <v>60</v>
      </c>
      <c r="B5" s="20">
        <v>97</v>
      </c>
      <c r="D5" s="21">
        <f t="shared" si="0"/>
        <v>0.97</v>
      </c>
      <c r="F5" s="21"/>
      <c r="H5" s="21"/>
      <c r="I5" s="21"/>
      <c r="J5" s="21">
        <f t="shared" si="1"/>
        <v>0.97</v>
      </c>
      <c r="K5" s="28"/>
      <c r="L5" s="19">
        <v>45</v>
      </c>
      <c r="M5" s="20">
        <v>99</v>
      </c>
      <c r="O5" s="21">
        <f t="shared" si="2"/>
        <v>0.99</v>
      </c>
      <c r="Q5" s="21"/>
      <c r="R5" s="21"/>
      <c r="S5" s="21"/>
      <c r="T5" s="21"/>
      <c r="U5" s="21">
        <f t="shared" si="3"/>
        <v>0.99</v>
      </c>
      <c r="V5" s="28"/>
      <c r="W5" s="19">
        <v>30</v>
      </c>
      <c r="X5" s="21">
        <v>99</v>
      </c>
      <c r="Z5" s="21">
        <f t="shared" si="4"/>
        <v>0.99</v>
      </c>
      <c r="AB5" s="21">
        <v>100</v>
      </c>
      <c r="AD5" s="21">
        <f>AB5*0.01</f>
        <v>1</v>
      </c>
      <c r="AF5" s="21"/>
      <c r="AG5" s="21"/>
      <c r="AH5" s="21"/>
      <c r="AI5" s="21"/>
      <c r="AJ5" s="21">
        <f t="shared" si="5"/>
        <v>1</v>
      </c>
      <c r="AK5" s="28"/>
      <c r="AL5" s="19">
        <v>15</v>
      </c>
      <c r="AM5" s="21">
        <v>100</v>
      </c>
      <c r="AN5" s="21">
        <f t="shared" ref="AN5:AN18" si="6">AM5*0.01</f>
        <v>1</v>
      </c>
      <c r="AO5" s="21"/>
      <c r="AP5" s="21"/>
      <c r="AQ5" s="21"/>
      <c r="AR5" s="21"/>
      <c r="AS5" s="21">
        <f t="shared" ref="AS5:AS18" si="7">MAX(AN5, AP5, AR5)</f>
        <v>1</v>
      </c>
      <c r="AT5" s="28"/>
    </row>
    <row r="6" spans="1:46" x14ac:dyDescent="0.25">
      <c r="A6" s="19">
        <v>59</v>
      </c>
      <c r="B6" s="20">
        <v>70</v>
      </c>
      <c r="D6" s="21">
        <f t="shared" si="0"/>
        <v>0.70000000000000007</v>
      </c>
      <c r="F6" s="21">
        <v>91</v>
      </c>
      <c r="H6" s="21">
        <f>F6*0.01</f>
        <v>0.91</v>
      </c>
      <c r="I6" s="21"/>
      <c r="J6" s="21">
        <f t="shared" si="1"/>
        <v>0.91</v>
      </c>
      <c r="K6" s="28"/>
      <c r="L6" s="19">
        <v>44</v>
      </c>
      <c r="M6" s="20">
        <v>99</v>
      </c>
      <c r="O6" s="21">
        <f t="shared" si="2"/>
        <v>0.99</v>
      </c>
      <c r="Q6" s="21"/>
      <c r="R6" s="21"/>
      <c r="S6" s="21"/>
      <c r="T6" s="21"/>
      <c r="U6" s="21">
        <f t="shared" si="3"/>
        <v>0.99</v>
      </c>
      <c r="V6" s="28"/>
      <c r="W6" s="19">
        <v>29</v>
      </c>
      <c r="X6" s="21">
        <v>96.5</v>
      </c>
      <c r="Z6" s="21">
        <f t="shared" si="4"/>
        <v>0.96499999999999997</v>
      </c>
      <c r="AB6" s="21"/>
      <c r="AD6" s="21"/>
      <c r="AF6" s="21"/>
      <c r="AG6" s="21"/>
      <c r="AH6" s="21"/>
      <c r="AI6" s="21"/>
      <c r="AJ6" s="21">
        <f t="shared" si="5"/>
        <v>0.96499999999999997</v>
      </c>
      <c r="AK6" s="28"/>
      <c r="AL6" s="19">
        <v>14</v>
      </c>
      <c r="AM6" s="21">
        <v>95</v>
      </c>
      <c r="AN6" s="21">
        <f t="shared" si="6"/>
        <v>0.95000000000000007</v>
      </c>
      <c r="AO6" s="21">
        <v>106</v>
      </c>
      <c r="AP6" s="21">
        <f t="shared" ref="AP6:AR18" si="8">AO6*0.01</f>
        <v>1.06</v>
      </c>
      <c r="AQ6" s="21"/>
      <c r="AR6" s="21"/>
      <c r="AS6" s="21">
        <f t="shared" si="7"/>
        <v>1.06</v>
      </c>
      <c r="AT6" s="28"/>
    </row>
    <row r="7" spans="1:46" x14ac:dyDescent="0.25">
      <c r="A7" s="19">
        <v>58</v>
      </c>
      <c r="B7" s="20">
        <v>98</v>
      </c>
      <c r="D7" s="21">
        <f t="shared" si="0"/>
        <v>0.98</v>
      </c>
      <c r="F7" s="21">
        <v>98</v>
      </c>
      <c r="H7" s="21">
        <f>F7*0.01</f>
        <v>0.98</v>
      </c>
      <c r="I7" s="21"/>
      <c r="J7" s="21">
        <f t="shared" si="1"/>
        <v>0.98</v>
      </c>
      <c r="K7" s="28"/>
      <c r="L7" s="19">
        <v>43</v>
      </c>
      <c r="M7" s="20">
        <v>97.5</v>
      </c>
      <c r="O7" s="21">
        <f t="shared" si="2"/>
        <v>0.97499999999999998</v>
      </c>
      <c r="Q7" s="21"/>
      <c r="R7" s="21"/>
      <c r="S7" s="21"/>
      <c r="T7" s="21"/>
      <c r="U7" s="21">
        <f t="shared" si="3"/>
        <v>0.97499999999999998</v>
      </c>
      <c r="V7" s="28"/>
      <c r="W7" s="19">
        <v>28</v>
      </c>
      <c r="X7" s="21">
        <v>101.5</v>
      </c>
      <c r="Z7" s="21">
        <f t="shared" si="4"/>
        <v>1.0150000000000001</v>
      </c>
      <c r="AB7" s="21"/>
      <c r="AD7" s="21"/>
      <c r="AF7" s="21"/>
      <c r="AG7" s="21"/>
      <c r="AH7" s="21"/>
      <c r="AI7" s="21"/>
      <c r="AJ7" s="21">
        <f t="shared" si="5"/>
        <v>1.0150000000000001</v>
      </c>
      <c r="AK7" s="28"/>
      <c r="AL7" s="19">
        <v>12</v>
      </c>
      <c r="AM7" s="21">
        <v>93.5</v>
      </c>
      <c r="AN7" s="21">
        <f t="shared" si="6"/>
        <v>0.93500000000000005</v>
      </c>
      <c r="AO7" s="21">
        <v>96.5</v>
      </c>
      <c r="AP7" s="21">
        <f t="shared" si="8"/>
        <v>0.96499999999999997</v>
      </c>
      <c r="AQ7" s="21"/>
      <c r="AR7" s="21"/>
      <c r="AS7" s="21">
        <f t="shared" si="7"/>
        <v>0.96499999999999997</v>
      </c>
      <c r="AT7" s="28"/>
    </row>
    <row r="8" spans="1:46" x14ac:dyDescent="0.25">
      <c r="A8" s="19">
        <v>57</v>
      </c>
      <c r="B8" s="20">
        <v>101.5</v>
      </c>
      <c r="D8" s="21">
        <f t="shared" si="0"/>
        <v>1.0150000000000001</v>
      </c>
      <c r="F8" s="21"/>
      <c r="H8" s="21"/>
      <c r="I8" s="21"/>
      <c r="J8" s="21">
        <f t="shared" si="1"/>
        <v>1.0150000000000001</v>
      </c>
      <c r="K8" s="28"/>
      <c r="L8" s="19">
        <v>42</v>
      </c>
      <c r="M8" s="20">
        <v>98</v>
      </c>
      <c r="O8" s="21">
        <f t="shared" si="2"/>
        <v>0.98</v>
      </c>
      <c r="Q8" s="21"/>
      <c r="R8" s="21"/>
      <c r="S8" s="21"/>
      <c r="T8" s="21"/>
      <c r="U8" s="21">
        <f t="shared" si="3"/>
        <v>0.98</v>
      </c>
      <c r="V8" s="28"/>
      <c r="W8" s="19">
        <v>27</v>
      </c>
      <c r="X8" s="21">
        <v>101</v>
      </c>
      <c r="Z8" s="21">
        <f t="shared" si="4"/>
        <v>1.01</v>
      </c>
      <c r="AB8" s="21"/>
      <c r="AD8" s="21"/>
      <c r="AF8" s="21"/>
      <c r="AG8" s="21"/>
      <c r="AH8" s="21"/>
      <c r="AI8" s="21"/>
      <c r="AJ8" s="21">
        <f t="shared" si="5"/>
        <v>1.01</v>
      </c>
      <c r="AK8" s="28"/>
      <c r="AL8" s="19">
        <v>11</v>
      </c>
      <c r="AM8" s="21">
        <v>99</v>
      </c>
      <c r="AN8" s="21">
        <f t="shared" si="6"/>
        <v>0.99</v>
      </c>
      <c r="AO8" s="21">
        <v>103.5</v>
      </c>
      <c r="AP8" s="21">
        <f t="shared" si="8"/>
        <v>1.0349999999999999</v>
      </c>
      <c r="AQ8" s="21"/>
      <c r="AR8" s="21"/>
      <c r="AS8" s="21">
        <f t="shared" si="7"/>
        <v>1.0349999999999999</v>
      </c>
      <c r="AT8" s="28"/>
    </row>
    <row r="9" spans="1:46" x14ac:dyDescent="0.25">
      <c r="A9" s="19">
        <v>56</v>
      </c>
      <c r="B9" s="20">
        <v>100</v>
      </c>
      <c r="D9" s="21">
        <f t="shared" si="0"/>
        <v>1</v>
      </c>
      <c r="F9" s="21">
        <v>101</v>
      </c>
      <c r="H9" s="21">
        <f>F9*0.01</f>
        <v>1.01</v>
      </c>
      <c r="I9" s="21"/>
      <c r="J9" s="21">
        <f t="shared" si="1"/>
        <v>1.01</v>
      </c>
      <c r="K9" s="28"/>
      <c r="L9" s="19">
        <v>41</v>
      </c>
      <c r="M9" s="20">
        <v>103.5</v>
      </c>
      <c r="O9" s="21">
        <f t="shared" si="2"/>
        <v>1.0349999999999999</v>
      </c>
      <c r="Q9" s="21">
        <v>104.5</v>
      </c>
      <c r="R9" s="21">
        <f>Q9*0.01</f>
        <v>1.0449999999999999</v>
      </c>
      <c r="S9" s="21"/>
      <c r="T9" s="21"/>
      <c r="U9" s="21">
        <f t="shared" si="3"/>
        <v>1.0449999999999999</v>
      </c>
      <c r="V9" s="28"/>
      <c r="W9" s="19">
        <v>26</v>
      </c>
      <c r="X9" s="21">
        <v>97</v>
      </c>
      <c r="Z9" s="21">
        <f t="shared" si="4"/>
        <v>0.97</v>
      </c>
      <c r="AB9" s="21"/>
      <c r="AD9" s="21"/>
      <c r="AF9" s="21"/>
      <c r="AG9" s="21"/>
      <c r="AH9" s="21"/>
      <c r="AI9" s="21"/>
      <c r="AJ9" s="21">
        <f t="shared" si="5"/>
        <v>0.97</v>
      </c>
      <c r="AK9" s="28"/>
      <c r="AL9" s="19">
        <v>10</v>
      </c>
      <c r="AM9" s="21">
        <v>92</v>
      </c>
      <c r="AN9" s="21">
        <f t="shared" si="6"/>
        <v>0.92</v>
      </c>
      <c r="AO9" s="21">
        <v>100</v>
      </c>
      <c r="AP9" s="21">
        <f t="shared" si="8"/>
        <v>1</v>
      </c>
      <c r="AQ9" s="21"/>
      <c r="AR9" s="21"/>
      <c r="AS9" s="21">
        <f t="shared" si="7"/>
        <v>1</v>
      </c>
      <c r="AT9" s="28"/>
    </row>
    <row r="10" spans="1:46" x14ac:dyDescent="0.25">
      <c r="A10" s="19">
        <v>55</v>
      </c>
      <c r="B10" s="20">
        <v>91</v>
      </c>
      <c r="D10" s="21">
        <f t="shared" si="0"/>
        <v>0.91</v>
      </c>
      <c r="F10" s="21"/>
      <c r="H10" s="21"/>
      <c r="I10" s="21"/>
      <c r="J10" s="21">
        <f t="shared" si="1"/>
        <v>0.91</v>
      </c>
      <c r="K10" s="28"/>
      <c r="L10" s="19">
        <v>40</v>
      </c>
      <c r="M10" s="20">
        <v>95</v>
      </c>
      <c r="O10" s="21">
        <f t="shared" si="2"/>
        <v>0.95000000000000007</v>
      </c>
      <c r="Q10" s="21"/>
      <c r="R10" s="21"/>
      <c r="S10" s="21"/>
      <c r="T10" s="21"/>
      <c r="U10" s="21">
        <f t="shared" si="3"/>
        <v>0.95000000000000007</v>
      </c>
      <c r="V10" s="28"/>
      <c r="W10" s="19">
        <v>25</v>
      </c>
      <c r="X10" s="21">
        <v>94</v>
      </c>
      <c r="Z10" s="21">
        <f t="shared" si="4"/>
        <v>0.94000000000000006</v>
      </c>
      <c r="AB10" s="21">
        <v>100</v>
      </c>
      <c r="AD10" s="21">
        <f>AB10*0.01</f>
        <v>1</v>
      </c>
      <c r="AF10" s="21">
        <v>104.5</v>
      </c>
      <c r="AG10" s="21">
        <f>AF10*0.01</f>
        <v>1.0449999999999999</v>
      </c>
      <c r="AH10" s="21"/>
      <c r="AI10" s="21"/>
      <c r="AJ10" s="21">
        <f t="shared" si="5"/>
        <v>1.0449999999999999</v>
      </c>
      <c r="AK10" s="28"/>
      <c r="AL10" s="19">
        <v>9</v>
      </c>
      <c r="AM10" s="21">
        <v>91</v>
      </c>
      <c r="AN10" s="21">
        <f t="shared" si="6"/>
        <v>0.91</v>
      </c>
      <c r="AO10" s="21"/>
      <c r="AP10" s="21"/>
      <c r="AQ10" s="21"/>
      <c r="AR10" s="21"/>
      <c r="AS10" s="21">
        <f t="shared" si="7"/>
        <v>0.91</v>
      </c>
      <c r="AT10" s="28"/>
    </row>
    <row r="11" spans="1:46" x14ac:dyDescent="0.25">
      <c r="A11" s="19">
        <v>54</v>
      </c>
      <c r="B11" s="20">
        <v>98</v>
      </c>
      <c r="D11" s="21">
        <f t="shared" si="0"/>
        <v>0.98</v>
      </c>
      <c r="F11" s="21">
        <v>103</v>
      </c>
      <c r="H11" s="21">
        <f>F11*0.01</f>
        <v>1.03</v>
      </c>
      <c r="I11" s="21"/>
      <c r="J11" s="21">
        <f t="shared" si="1"/>
        <v>1.03</v>
      </c>
      <c r="K11" s="28"/>
      <c r="L11" s="19">
        <v>39</v>
      </c>
      <c r="M11" s="20">
        <v>92</v>
      </c>
      <c r="O11" s="21">
        <f t="shared" si="2"/>
        <v>0.92</v>
      </c>
      <c r="Q11" s="21">
        <v>99</v>
      </c>
      <c r="R11" s="21">
        <f>Q11*0.01</f>
        <v>0.99</v>
      </c>
      <c r="S11" s="21"/>
      <c r="T11" s="21"/>
      <c r="U11" s="21">
        <f t="shared" si="3"/>
        <v>0.99</v>
      </c>
      <c r="V11" s="28"/>
      <c r="W11" s="19">
        <v>24</v>
      </c>
      <c r="X11" s="21">
        <v>95</v>
      </c>
      <c r="Z11" s="21">
        <f t="shared" si="4"/>
        <v>0.95000000000000007</v>
      </c>
      <c r="AB11" s="21">
        <v>99</v>
      </c>
      <c r="AD11" s="21">
        <f>AB11*0.01</f>
        <v>0.99</v>
      </c>
      <c r="AF11" s="21"/>
      <c r="AG11" s="21"/>
      <c r="AH11" s="21"/>
      <c r="AI11" s="21"/>
      <c r="AJ11" s="21">
        <f t="shared" si="5"/>
        <v>0.99</v>
      </c>
      <c r="AK11" s="28"/>
      <c r="AL11" s="19">
        <v>8</v>
      </c>
      <c r="AM11" s="21">
        <v>89</v>
      </c>
      <c r="AN11" s="21">
        <f t="shared" si="6"/>
        <v>0.89</v>
      </c>
      <c r="AO11" s="21">
        <v>92</v>
      </c>
      <c r="AP11" s="21">
        <f t="shared" si="8"/>
        <v>0.92</v>
      </c>
      <c r="AQ11" s="21"/>
      <c r="AR11" s="21"/>
      <c r="AS11" s="21">
        <f t="shared" si="7"/>
        <v>0.92</v>
      </c>
      <c r="AT11" s="28"/>
    </row>
    <row r="12" spans="1:46" x14ac:dyDescent="0.25">
      <c r="A12" s="19">
        <v>53</v>
      </c>
      <c r="B12" s="20">
        <v>96</v>
      </c>
      <c r="D12" s="21">
        <f t="shared" si="0"/>
        <v>0.96</v>
      </c>
      <c r="F12" s="21"/>
      <c r="H12" s="21"/>
      <c r="I12" s="21"/>
      <c r="J12" s="21">
        <f t="shared" si="1"/>
        <v>0.96</v>
      </c>
      <c r="K12" s="28"/>
      <c r="L12" s="19">
        <v>38</v>
      </c>
      <c r="M12" s="20">
        <v>84.5</v>
      </c>
      <c r="O12" s="21">
        <f t="shared" si="2"/>
        <v>0.84499999999999997</v>
      </c>
      <c r="Q12" s="21"/>
      <c r="R12" s="21"/>
      <c r="S12" s="21"/>
      <c r="T12" s="21"/>
      <c r="U12" s="21">
        <f t="shared" si="3"/>
        <v>0.84499999999999997</v>
      </c>
      <c r="V12" s="28"/>
      <c r="W12" s="19">
        <v>23</v>
      </c>
      <c r="X12" s="21">
        <v>99</v>
      </c>
      <c r="Z12" s="21">
        <f t="shared" si="4"/>
        <v>0.99</v>
      </c>
      <c r="AB12" s="21">
        <v>100</v>
      </c>
      <c r="AD12" s="21">
        <f>AB12*0.01</f>
        <v>1</v>
      </c>
      <c r="AF12" s="21"/>
      <c r="AG12" s="21"/>
      <c r="AH12" s="21"/>
      <c r="AI12" s="21"/>
      <c r="AJ12" s="21">
        <f t="shared" si="5"/>
        <v>1</v>
      </c>
      <c r="AK12" s="28"/>
      <c r="AL12" s="19">
        <v>7</v>
      </c>
      <c r="AM12" s="21">
        <v>70</v>
      </c>
      <c r="AN12" s="21">
        <f t="shared" si="6"/>
        <v>0.70000000000000007</v>
      </c>
      <c r="AO12" s="21">
        <v>107</v>
      </c>
      <c r="AP12" s="21">
        <f t="shared" si="8"/>
        <v>1.07</v>
      </c>
      <c r="AQ12" s="21"/>
      <c r="AR12" s="21"/>
      <c r="AS12" s="21">
        <f t="shared" si="7"/>
        <v>1.07</v>
      </c>
      <c r="AT12" s="28"/>
    </row>
    <row r="13" spans="1:46" x14ac:dyDescent="0.25">
      <c r="A13" s="19">
        <v>52</v>
      </c>
      <c r="B13" s="20">
        <v>97</v>
      </c>
      <c r="D13" s="21">
        <f t="shared" si="0"/>
        <v>0.97</v>
      </c>
      <c r="F13" s="21">
        <v>103</v>
      </c>
      <c r="H13" s="21">
        <f>F13*0.01</f>
        <v>1.03</v>
      </c>
      <c r="I13" s="21"/>
      <c r="J13" s="21">
        <f t="shared" si="1"/>
        <v>1.03</v>
      </c>
      <c r="K13" s="28"/>
      <c r="L13" s="19">
        <v>37</v>
      </c>
      <c r="M13" s="20">
        <v>99.5</v>
      </c>
      <c r="O13" s="21">
        <f t="shared" si="2"/>
        <v>0.995</v>
      </c>
      <c r="Q13" s="21"/>
      <c r="R13" s="21"/>
      <c r="S13" s="21"/>
      <c r="T13" s="21"/>
      <c r="U13" s="21">
        <f t="shared" si="3"/>
        <v>0.995</v>
      </c>
      <c r="V13" s="28"/>
      <c r="W13" s="19">
        <v>22</v>
      </c>
      <c r="X13" s="21">
        <v>100</v>
      </c>
      <c r="Z13" s="21">
        <f t="shared" si="4"/>
        <v>1</v>
      </c>
      <c r="AB13" s="21"/>
      <c r="AF13" s="21"/>
      <c r="AG13" s="21"/>
      <c r="AH13" s="21"/>
      <c r="AI13" s="21"/>
      <c r="AJ13" s="21">
        <f t="shared" si="5"/>
        <v>1</v>
      </c>
      <c r="AK13" s="28"/>
      <c r="AL13" s="19">
        <v>6</v>
      </c>
      <c r="AM13" s="21">
        <v>99</v>
      </c>
      <c r="AN13" s="21">
        <f t="shared" si="6"/>
        <v>0.99</v>
      </c>
      <c r="AO13" s="21">
        <v>105</v>
      </c>
      <c r="AP13" s="21">
        <f t="shared" si="8"/>
        <v>1.05</v>
      </c>
      <c r="AQ13" s="21"/>
      <c r="AR13" s="21"/>
      <c r="AS13" s="21">
        <f t="shared" si="7"/>
        <v>1.05</v>
      </c>
      <c r="AT13" s="28"/>
    </row>
    <row r="14" spans="1:46" x14ac:dyDescent="0.25">
      <c r="A14" s="19">
        <v>51</v>
      </c>
      <c r="B14" s="20">
        <v>100</v>
      </c>
      <c r="D14" s="21">
        <f t="shared" si="0"/>
        <v>1</v>
      </c>
      <c r="F14" s="21">
        <v>100</v>
      </c>
      <c r="H14" s="21">
        <f>F14*0.01</f>
        <v>1</v>
      </c>
      <c r="I14" s="21"/>
      <c r="J14" s="21">
        <f t="shared" si="1"/>
        <v>1</v>
      </c>
      <c r="K14" s="28"/>
      <c r="L14" s="19">
        <v>36</v>
      </c>
      <c r="M14" s="20">
        <v>94</v>
      </c>
      <c r="O14" s="21">
        <f t="shared" si="2"/>
        <v>0.94000000000000006</v>
      </c>
      <c r="Q14" s="21"/>
      <c r="R14" s="21"/>
      <c r="S14" s="21"/>
      <c r="T14" s="21"/>
      <c r="U14" s="21">
        <f t="shared" si="3"/>
        <v>0.94000000000000006</v>
      </c>
      <c r="V14" s="28"/>
      <c r="W14" s="19">
        <v>21</v>
      </c>
      <c r="X14" s="21">
        <v>98.5</v>
      </c>
      <c r="Z14" s="21">
        <f t="shared" si="4"/>
        <v>0.98499999999999999</v>
      </c>
      <c r="AB14" s="21">
        <v>98.5</v>
      </c>
      <c r="AD14" s="21">
        <f>AB14*0.01</f>
        <v>0.98499999999999999</v>
      </c>
      <c r="AF14" s="21">
        <v>97.5</v>
      </c>
      <c r="AG14" s="21">
        <f>AF14*0.01</f>
        <v>0.97499999999999998</v>
      </c>
      <c r="AH14" s="21">
        <v>95</v>
      </c>
      <c r="AI14" s="21">
        <f>AH14*0.01</f>
        <v>0.95000000000000007</v>
      </c>
      <c r="AJ14" s="21">
        <f t="shared" si="5"/>
        <v>0.98499999999999999</v>
      </c>
      <c r="AK14" s="28"/>
      <c r="AL14" s="19">
        <v>5</v>
      </c>
      <c r="AM14" s="21">
        <v>66</v>
      </c>
      <c r="AN14" s="21">
        <f t="shared" si="6"/>
        <v>0.66</v>
      </c>
      <c r="AO14" s="21">
        <v>92</v>
      </c>
      <c r="AP14" s="21">
        <f t="shared" si="8"/>
        <v>0.92</v>
      </c>
      <c r="AQ14" s="21"/>
      <c r="AR14" s="21"/>
      <c r="AS14" s="21">
        <f t="shared" si="7"/>
        <v>0.92</v>
      </c>
      <c r="AT14" s="28"/>
    </row>
    <row r="15" spans="1:46" x14ac:dyDescent="0.25">
      <c r="A15" s="19">
        <v>50</v>
      </c>
      <c r="B15" s="20">
        <v>101</v>
      </c>
      <c r="D15" s="21">
        <f t="shared" si="0"/>
        <v>1.01</v>
      </c>
      <c r="F15" s="21"/>
      <c r="H15" s="21"/>
      <c r="I15" s="21"/>
      <c r="J15" s="21">
        <f t="shared" si="1"/>
        <v>1.01</v>
      </c>
      <c r="K15" s="28"/>
      <c r="L15" s="19">
        <v>35</v>
      </c>
      <c r="M15" s="20">
        <v>92.5</v>
      </c>
      <c r="O15" s="21">
        <f t="shared" si="2"/>
        <v>0.92500000000000004</v>
      </c>
      <c r="Q15" s="21"/>
      <c r="R15" s="21"/>
      <c r="S15" s="21"/>
      <c r="T15" s="21"/>
      <c r="U15" s="21">
        <f t="shared" si="3"/>
        <v>0.92500000000000004</v>
      </c>
      <c r="V15" s="28"/>
      <c r="W15" s="19">
        <v>20</v>
      </c>
      <c r="X15" s="21">
        <v>95</v>
      </c>
      <c r="Z15" s="21">
        <f t="shared" si="4"/>
        <v>0.95000000000000007</v>
      </c>
      <c r="AB15" s="21">
        <v>99</v>
      </c>
      <c r="AD15" s="21">
        <f>AB15*0.01</f>
        <v>0.99</v>
      </c>
      <c r="AF15" s="21"/>
      <c r="AG15" s="21"/>
      <c r="AH15" s="21"/>
      <c r="AI15" s="21"/>
      <c r="AJ15" s="21">
        <f t="shared" si="5"/>
        <v>0.99</v>
      </c>
      <c r="AK15" s="28"/>
      <c r="AL15" s="19">
        <v>4</v>
      </c>
      <c r="AM15" s="21">
        <v>90</v>
      </c>
      <c r="AN15" s="21">
        <f t="shared" si="6"/>
        <v>0.9</v>
      </c>
      <c r="AO15" s="21">
        <v>94</v>
      </c>
      <c r="AP15" s="21">
        <f t="shared" si="8"/>
        <v>0.94000000000000006</v>
      </c>
      <c r="AQ15" s="21"/>
      <c r="AR15" s="21"/>
      <c r="AS15" s="21">
        <f t="shared" si="7"/>
        <v>0.94000000000000006</v>
      </c>
      <c r="AT15" s="28"/>
    </row>
    <row r="16" spans="1:46" x14ac:dyDescent="0.25">
      <c r="A16" s="19">
        <v>49</v>
      </c>
      <c r="B16" s="20">
        <v>101</v>
      </c>
      <c r="D16" s="21">
        <f t="shared" si="0"/>
        <v>1.01</v>
      </c>
      <c r="F16" s="21"/>
      <c r="H16" s="21"/>
      <c r="I16" s="21"/>
      <c r="J16" s="21">
        <f t="shared" si="1"/>
        <v>1.01</v>
      </c>
      <c r="K16" s="28"/>
      <c r="L16" s="19">
        <v>34</v>
      </c>
      <c r="M16" s="20">
        <v>85</v>
      </c>
      <c r="O16" s="21">
        <f t="shared" si="2"/>
        <v>0.85</v>
      </c>
      <c r="Q16" s="21">
        <v>105</v>
      </c>
      <c r="R16" s="21">
        <f>Q16*0.01</f>
        <v>1.05</v>
      </c>
      <c r="S16" s="21"/>
      <c r="T16" s="21"/>
      <c r="U16" s="21">
        <f t="shared" si="3"/>
        <v>1.05</v>
      </c>
      <c r="V16" s="28"/>
      <c r="W16" s="19">
        <v>19</v>
      </c>
      <c r="X16" s="21">
        <v>94.8</v>
      </c>
      <c r="Z16" s="21">
        <f t="shared" si="4"/>
        <v>0.94799999999999995</v>
      </c>
      <c r="AB16" s="21">
        <v>95.5</v>
      </c>
      <c r="AD16" s="21">
        <f>AB16*0.01</f>
        <v>0.95500000000000007</v>
      </c>
      <c r="AF16" s="21"/>
      <c r="AG16" s="21"/>
      <c r="AH16" s="21"/>
      <c r="AI16" s="21"/>
      <c r="AJ16" s="21">
        <f t="shared" si="5"/>
        <v>0.95500000000000007</v>
      </c>
      <c r="AK16" s="28"/>
      <c r="AL16" s="19">
        <v>3</v>
      </c>
      <c r="AM16" s="21">
        <v>102</v>
      </c>
      <c r="AN16" s="21">
        <f t="shared" si="6"/>
        <v>1.02</v>
      </c>
      <c r="AO16" s="21"/>
      <c r="AP16" s="21"/>
      <c r="AQ16" s="21"/>
      <c r="AR16" s="21"/>
      <c r="AS16" s="21">
        <f t="shared" si="7"/>
        <v>1.02</v>
      </c>
      <c r="AT16" s="28"/>
    </row>
    <row r="17" spans="1:46" x14ac:dyDescent="0.25">
      <c r="A17" s="19">
        <v>48</v>
      </c>
      <c r="B17" s="20">
        <v>98.2</v>
      </c>
      <c r="D17" s="21">
        <f t="shared" si="0"/>
        <v>0.9820000000000001</v>
      </c>
      <c r="F17" s="21"/>
      <c r="H17" s="21"/>
      <c r="I17" s="21"/>
      <c r="J17" s="21">
        <f t="shared" si="1"/>
        <v>0.9820000000000001</v>
      </c>
      <c r="K17" s="28"/>
      <c r="L17" s="19">
        <v>33</v>
      </c>
      <c r="M17" s="20">
        <v>98.5</v>
      </c>
      <c r="O17" s="21">
        <f t="shared" si="2"/>
        <v>0.98499999999999999</v>
      </c>
      <c r="Q17" s="21">
        <v>100.5</v>
      </c>
      <c r="R17" s="21">
        <f>Q17*0.01</f>
        <v>1.0050000000000001</v>
      </c>
      <c r="S17" s="21">
        <v>102</v>
      </c>
      <c r="T17" s="21">
        <f>S17*0.01</f>
        <v>1.02</v>
      </c>
      <c r="U17" s="21">
        <f t="shared" si="3"/>
        <v>1.02</v>
      </c>
      <c r="V17" s="28"/>
      <c r="W17" s="19">
        <v>18</v>
      </c>
      <c r="X17" s="21">
        <v>100</v>
      </c>
      <c r="Z17" s="21">
        <f t="shared" si="4"/>
        <v>1</v>
      </c>
      <c r="AB17" s="21"/>
      <c r="AC17" s="21"/>
      <c r="AD17" s="21"/>
      <c r="AE17" s="21"/>
      <c r="AF17" s="21"/>
      <c r="AG17" s="21"/>
      <c r="AH17" s="21"/>
      <c r="AI17" s="21"/>
      <c r="AJ17" s="21">
        <f>MAX(Z17,AC17, AE17, AG17)</f>
        <v>1</v>
      </c>
      <c r="AK17" s="28"/>
      <c r="AL17" s="19">
        <v>2</v>
      </c>
      <c r="AM17" s="21">
        <v>95</v>
      </c>
      <c r="AN17" s="21">
        <f t="shared" si="6"/>
        <v>0.95000000000000007</v>
      </c>
      <c r="AO17" s="21">
        <v>102</v>
      </c>
      <c r="AP17" s="21">
        <f t="shared" si="8"/>
        <v>1.02</v>
      </c>
      <c r="AQ17" s="21">
        <v>103</v>
      </c>
      <c r="AR17" s="21">
        <f t="shared" si="8"/>
        <v>1.03</v>
      </c>
      <c r="AS17" s="21">
        <f t="shared" si="7"/>
        <v>1.03</v>
      </c>
      <c r="AT17" s="28"/>
    </row>
    <row r="18" spans="1:46" x14ac:dyDescent="0.25">
      <c r="A18" s="19">
        <v>47</v>
      </c>
      <c r="B18" s="20">
        <v>105</v>
      </c>
      <c r="D18" s="21">
        <f t="shared" si="0"/>
        <v>1.05</v>
      </c>
      <c r="F18" s="21"/>
      <c r="H18" s="21"/>
      <c r="I18" s="21"/>
      <c r="J18" s="21">
        <f t="shared" si="1"/>
        <v>1.05</v>
      </c>
      <c r="K18" s="28"/>
      <c r="L18" s="24">
        <v>32</v>
      </c>
      <c r="M18" s="20">
        <v>90</v>
      </c>
      <c r="O18" s="21">
        <f t="shared" si="2"/>
        <v>0.9</v>
      </c>
      <c r="P18" s="21"/>
      <c r="Q18" s="21"/>
      <c r="R18" s="21"/>
      <c r="S18" s="21"/>
      <c r="T18" s="21"/>
      <c r="U18" s="21">
        <f>MAX(O18,Q18, S18)</f>
        <v>0.9</v>
      </c>
      <c r="V18" s="28"/>
      <c r="W18" s="24">
        <v>17</v>
      </c>
      <c r="X18" s="21">
        <v>95</v>
      </c>
      <c r="Z18" s="21">
        <f t="shared" si="4"/>
        <v>0.95000000000000007</v>
      </c>
      <c r="AB18" s="21"/>
      <c r="AC18" s="21"/>
      <c r="AD18" s="21"/>
      <c r="AE18" s="21"/>
      <c r="AF18" s="21"/>
      <c r="AG18" s="21"/>
      <c r="AH18" s="21"/>
      <c r="AI18" s="21"/>
      <c r="AJ18" s="21">
        <f>MAX(Z18,AC18, AE18, AG18)</f>
        <v>0.95000000000000007</v>
      </c>
      <c r="AK18" s="28"/>
      <c r="AL18" s="24">
        <v>1</v>
      </c>
      <c r="AM18" s="21">
        <v>93</v>
      </c>
      <c r="AN18" s="21">
        <f t="shared" si="6"/>
        <v>0.93</v>
      </c>
      <c r="AO18" s="21">
        <v>94</v>
      </c>
      <c r="AP18" s="21">
        <f t="shared" si="8"/>
        <v>0.94000000000000006</v>
      </c>
      <c r="AQ18" s="21">
        <v>96</v>
      </c>
      <c r="AR18" s="21">
        <f t="shared" si="8"/>
        <v>0.96</v>
      </c>
      <c r="AS18" s="21">
        <f t="shared" si="7"/>
        <v>0.96</v>
      </c>
      <c r="AT18" s="28"/>
    </row>
    <row r="19" spans="1:46" x14ac:dyDescent="0.25">
      <c r="A19" s="19"/>
      <c r="B19" s="5"/>
      <c r="D19" s="5"/>
      <c r="F19" s="5"/>
      <c r="H19" s="5"/>
      <c r="K19" s="5"/>
    </row>
    <row r="20" spans="1:46" x14ac:dyDescent="0.25">
      <c r="A20" s="44" t="s">
        <v>21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25"/>
    </row>
    <row r="21" spans="1:46" x14ac:dyDescent="0.25">
      <c r="A21" s="41" t="s">
        <v>4</v>
      </c>
      <c r="B21" s="41"/>
      <c r="C21" s="41"/>
      <c r="D21" s="41"/>
      <c r="E21" s="41"/>
      <c r="F21" s="41"/>
      <c r="G21" s="41"/>
      <c r="H21" s="41"/>
      <c r="I21" s="41"/>
      <c r="J21" s="41"/>
      <c r="K21" s="42"/>
      <c r="L21" s="41" t="s">
        <v>5</v>
      </c>
      <c r="M21" s="41"/>
      <c r="N21" s="41"/>
      <c r="O21" s="41"/>
      <c r="P21" s="41"/>
      <c r="Q21" s="41"/>
      <c r="R21" s="41"/>
      <c r="S21" s="41"/>
      <c r="T21" s="41"/>
      <c r="U21" s="42"/>
      <c r="V21" s="8"/>
      <c r="W21" s="41" t="s">
        <v>6</v>
      </c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2"/>
      <c r="AK21" s="8"/>
      <c r="AL21" s="41" t="s">
        <v>7</v>
      </c>
      <c r="AM21" s="41"/>
      <c r="AN21" s="41"/>
      <c r="AO21" s="41"/>
      <c r="AP21" s="41"/>
      <c r="AQ21" s="41"/>
      <c r="AR21" s="41"/>
      <c r="AS21" s="42"/>
      <c r="AT21" s="8"/>
    </row>
    <row r="22" spans="1:46" x14ac:dyDescent="0.25">
      <c r="A22" s="1" t="s">
        <v>19</v>
      </c>
      <c r="B22" s="1" t="s">
        <v>10</v>
      </c>
      <c r="C22" s="1" t="s">
        <v>15</v>
      </c>
      <c r="D22" s="1" t="s">
        <v>11</v>
      </c>
      <c r="E22" s="1" t="s">
        <v>16</v>
      </c>
      <c r="F22" s="1" t="s">
        <v>12</v>
      </c>
      <c r="G22" s="1" t="s">
        <v>17</v>
      </c>
      <c r="H22" s="1" t="s">
        <v>13</v>
      </c>
      <c r="I22" s="1" t="s">
        <v>18</v>
      </c>
      <c r="J22" s="1" t="s">
        <v>42</v>
      </c>
      <c r="K22" s="28" t="s">
        <v>65</v>
      </c>
      <c r="L22" s="1" t="s">
        <v>19</v>
      </c>
      <c r="M22" s="1" t="s">
        <v>10</v>
      </c>
      <c r="N22" s="1" t="s">
        <v>15</v>
      </c>
      <c r="O22" s="1" t="s">
        <v>11</v>
      </c>
      <c r="P22" s="1" t="s">
        <v>16</v>
      </c>
      <c r="Q22" s="1" t="s">
        <v>12</v>
      </c>
      <c r="R22" s="1" t="s">
        <v>17</v>
      </c>
      <c r="S22" s="1" t="s">
        <v>13</v>
      </c>
      <c r="T22" s="1" t="s">
        <v>18</v>
      </c>
      <c r="U22" s="23" t="s">
        <v>42</v>
      </c>
      <c r="V22" s="28" t="s">
        <v>65</v>
      </c>
      <c r="W22" s="1" t="s">
        <v>19</v>
      </c>
      <c r="X22" s="1" t="s">
        <v>10</v>
      </c>
      <c r="Y22" s="1" t="s">
        <v>15</v>
      </c>
      <c r="Z22" s="1" t="s">
        <v>11</v>
      </c>
      <c r="AA22" s="1" t="s">
        <v>16</v>
      </c>
      <c r="AB22" s="1" t="s">
        <v>12</v>
      </c>
      <c r="AC22" s="1" t="s">
        <v>17</v>
      </c>
      <c r="AD22" s="1" t="s">
        <v>13</v>
      </c>
      <c r="AE22" s="1" t="s">
        <v>18</v>
      </c>
      <c r="AF22" s="1" t="s">
        <v>22</v>
      </c>
      <c r="AG22" s="1" t="s">
        <v>23</v>
      </c>
      <c r="AH22" s="1" t="s">
        <v>24</v>
      </c>
      <c r="AI22" s="1" t="s">
        <v>25</v>
      </c>
      <c r="AJ22" s="1" t="s">
        <v>42</v>
      </c>
      <c r="AK22" s="28" t="s">
        <v>65</v>
      </c>
      <c r="AL22" s="1" t="s">
        <v>19</v>
      </c>
      <c r="AM22" s="1" t="s">
        <v>10</v>
      </c>
      <c r="AN22" s="1" t="s">
        <v>15</v>
      </c>
      <c r="AO22" s="1" t="s">
        <v>11</v>
      </c>
      <c r="AP22" s="1" t="s">
        <v>16</v>
      </c>
      <c r="AQ22" s="1" t="s">
        <v>12</v>
      </c>
      <c r="AR22" s="1" t="s">
        <v>17</v>
      </c>
      <c r="AS22" s="1" t="s">
        <v>14</v>
      </c>
      <c r="AT22" s="28" t="s">
        <v>65</v>
      </c>
    </row>
    <row r="23" spans="1:46" x14ac:dyDescent="0.25">
      <c r="A23" s="19">
        <v>61</v>
      </c>
      <c r="B23" s="26">
        <v>160</v>
      </c>
      <c r="C23" s="21">
        <f>B23*0.01</f>
        <v>1.6</v>
      </c>
      <c r="D23">
        <v>188</v>
      </c>
      <c r="E23" s="21"/>
      <c r="F23">
        <v>168</v>
      </c>
      <c r="G23" s="21">
        <f>F23*0.01</f>
        <v>1.68</v>
      </c>
      <c r="H23">
        <v>195</v>
      </c>
      <c r="I23" s="21">
        <f>H23*0.01</f>
        <v>1.95</v>
      </c>
      <c r="J23" s="21">
        <f>MAX(C23,E23,G23,I23)</f>
        <v>1.95</v>
      </c>
      <c r="K23" s="7">
        <f>(J23-J4)/J4*100</f>
        <v>98.979591836734699</v>
      </c>
      <c r="L23" s="19">
        <v>46</v>
      </c>
      <c r="M23" s="26">
        <v>139</v>
      </c>
      <c r="N23" s="21">
        <f>M23*0.01</f>
        <v>1.3900000000000001</v>
      </c>
      <c r="O23">
        <v>115</v>
      </c>
      <c r="P23" s="21">
        <f t="shared" ref="P23" si="9">O23*0.01</f>
        <v>1.1500000000000001</v>
      </c>
      <c r="R23" s="21"/>
      <c r="T23" s="21"/>
      <c r="U23" s="22">
        <f>MAX(N23,P23, R23,T23)</f>
        <v>1.3900000000000001</v>
      </c>
      <c r="V23" s="7">
        <f>(U23-U4)/U4*100</f>
        <v>43.298969072164965</v>
      </c>
      <c r="W23" s="19">
        <v>31</v>
      </c>
      <c r="X23" s="26">
        <v>187</v>
      </c>
      <c r="Y23" s="21">
        <f>X23*0.01</f>
        <v>1.87</v>
      </c>
      <c r="AA23" s="21"/>
      <c r="AC23" s="21"/>
      <c r="AE23" s="21"/>
      <c r="AG23" s="21"/>
      <c r="AI23" s="21"/>
      <c r="AJ23" s="21">
        <f>MAX(Y23,AA23, AC23, AE23,AG23,AI23)</f>
        <v>1.87</v>
      </c>
      <c r="AK23" s="7">
        <f>(AJ23-AJ4)/AJ4*100</f>
        <v>107.7777777777778</v>
      </c>
      <c r="AL23" s="19">
        <v>16</v>
      </c>
      <c r="AM23">
        <v>140</v>
      </c>
      <c r="AN23" s="21">
        <f>AM23*0.01</f>
        <v>1.4000000000000001</v>
      </c>
      <c r="AO23">
        <v>59</v>
      </c>
      <c r="AP23" s="21">
        <f>AO23*0.01</f>
        <v>0.59</v>
      </c>
      <c r="AQ23">
        <v>76</v>
      </c>
      <c r="AR23" s="21">
        <f t="shared" ref="AR23" si="10">AQ23*0.01</f>
        <v>0.76</v>
      </c>
      <c r="AS23" s="21">
        <f>MAX(AN23, AP23, AR23)</f>
        <v>1.4000000000000001</v>
      </c>
      <c r="AT23" s="7">
        <f>(AS23-AS4)/AS4*100</f>
        <v>38.613861386138623</v>
      </c>
    </row>
    <row r="24" spans="1:46" x14ac:dyDescent="0.25">
      <c r="A24" s="19">
        <v>60</v>
      </c>
      <c r="B24" s="26">
        <v>235</v>
      </c>
      <c r="C24" s="21">
        <f t="shared" ref="C24:C37" si="11">B24*0.01</f>
        <v>2.35</v>
      </c>
      <c r="D24">
        <v>200</v>
      </c>
      <c r="E24" s="21">
        <f>D24*0.01</f>
        <v>2</v>
      </c>
      <c r="F24">
        <v>220</v>
      </c>
      <c r="G24" s="21">
        <f>F24*0.01</f>
        <v>2.2000000000000002</v>
      </c>
      <c r="H24" s="21"/>
      <c r="I24" s="21"/>
      <c r="J24" s="21">
        <f t="shared" ref="J24:J37" si="12">MAX(C24,E24)</f>
        <v>2.35</v>
      </c>
      <c r="K24" s="7">
        <f t="shared" ref="K24:K37" si="13">(J24-J5)/J5*100</f>
        <v>142.26804123711341</v>
      </c>
      <c r="L24" s="19">
        <v>45</v>
      </c>
      <c r="M24" s="26">
        <v>138</v>
      </c>
      <c r="N24" s="21">
        <f t="shared" ref="N24" si="14">M24*0.01</f>
        <v>1.3800000000000001</v>
      </c>
      <c r="P24" s="21"/>
      <c r="R24" s="21"/>
      <c r="T24" s="21"/>
      <c r="U24" s="22">
        <f t="shared" ref="U24:U37" si="15">MAX(N24,P24, R24,T24)</f>
        <v>1.3800000000000001</v>
      </c>
      <c r="V24" s="7">
        <f>(U24-U5)/U5*100</f>
        <v>39.393939393939412</v>
      </c>
      <c r="W24" s="19">
        <v>30</v>
      </c>
      <c r="X24" s="26">
        <v>170</v>
      </c>
      <c r="Y24" s="21">
        <f t="shared" ref="Y24:Y37" si="16">X24*0.01</f>
        <v>1.7</v>
      </c>
      <c r="Z24">
        <v>224</v>
      </c>
      <c r="AA24" s="21">
        <f t="shared" ref="AA24:AC27" si="17">Z24*0.01</f>
        <v>2.2400000000000002</v>
      </c>
      <c r="AC24" s="21"/>
      <c r="AE24" s="21"/>
      <c r="AG24" s="21"/>
      <c r="AI24" s="21"/>
      <c r="AJ24" s="21">
        <f t="shared" ref="AJ24:AJ37" si="18">MAX(Y24,AA24, AC24, AE24,AG24,AI24)</f>
        <v>2.2400000000000002</v>
      </c>
      <c r="AK24" s="7">
        <f>(AJ24-AJ5)/AJ5*100</f>
        <v>124.00000000000003</v>
      </c>
      <c r="AL24" s="19">
        <v>15</v>
      </c>
      <c r="AM24">
        <v>170</v>
      </c>
      <c r="AN24" s="21">
        <f t="shared" ref="AN24:AN37" si="19">AM24*0.01</f>
        <v>1.7</v>
      </c>
      <c r="AO24">
        <v>58</v>
      </c>
      <c r="AP24" s="21">
        <f>AO24*0.01</f>
        <v>0.57999999999999996</v>
      </c>
      <c r="AQ24">
        <v>69</v>
      </c>
      <c r="AR24" s="21">
        <f t="shared" ref="AR24" si="20">AQ24*0.01</f>
        <v>0.69000000000000006</v>
      </c>
      <c r="AS24" s="21">
        <f t="shared" ref="AS24:AS37" si="21">MAX(AN24, AP24, AR24)</f>
        <v>1.7</v>
      </c>
      <c r="AT24" s="7">
        <f>(AS24-AS5)/AS5*100</f>
        <v>70</v>
      </c>
    </row>
    <row r="25" spans="1:46" x14ac:dyDescent="0.25">
      <c r="A25" s="19">
        <v>59</v>
      </c>
      <c r="B25" s="26">
        <v>206</v>
      </c>
      <c r="C25" s="21">
        <f t="shared" si="11"/>
        <v>2.06</v>
      </c>
      <c r="D25">
        <v>215</v>
      </c>
      <c r="E25" s="21">
        <f>D25*0.01</f>
        <v>2.15</v>
      </c>
      <c r="G25" s="21"/>
      <c r="H25" s="21"/>
      <c r="I25" s="21"/>
      <c r="J25" s="21">
        <f t="shared" si="12"/>
        <v>2.15</v>
      </c>
      <c r="K25" s="7">
        <f t="shared" si="13"/>
        <v>136.26373626373623</v>
      </c>
      <c r="L25" s="19">
        <v>44</v>
      </c>
      <c r="M25" s="26">
        <v>195</v>
      </c>
      <c r="N25" s="21">
        <f t="shared" ref="N25" si="22">M25*0.01</f>
        <v>1.95</v>
      </c>
      <c r="P25" s="21"/>
      <c r="R25" s="21"/>
      <c r="T25" s="21"/>
      <c r="U25" s="22">
        <f t="shared" si="15"/>
        <v>1.95</v>
      </c>
      <c r="V25" s="7">
        <f t="shared" ref="V25:V37" si="23">(U25-U6)/U6*100</f>
        <v>96.969696969696969</v>
      </c>
      <c r="W25" s="19">
        <v>29</v>
      </c>
      <c r="X25" s="26">
        <v>140</v>
      </c>
      <c r="Y25" s="21">
        <f t="shared" si="16"/>
        <v>1.4000000000000001</v>
      </c>
      <c r="Z25">
        <v>139</v>
      </c>
      <c r="AA25" s="21">
        <f t="shared" si="17"/>
        <v>1.3900000000000001</v>
      </c>
      <c r="AB25">
        <v>228</v>
      </c>
      <c r="AC25" s="21">
        <f t="shared" si="17"/>
        <v>2.2800000000000002</v>
      </c>
      <c r="AE25" s="21"/>
      <c r="AG25" s="21"/>
      <c r="AI25" s="21"/>
      <c r="AJ25" s="21">
        <f t="shared" si="18"/>
        <v>2.2800000000000002</v>
      </c>
      <c r="AK25" s="7">
        <f t="shared" ref="AK25:AK37" si="24">(AJ25-AJ6)/AJ6*100</f>
        <v>136.26943005181352</v>
      </c>
      <c r="AL25" s="19">
        <v>14</v>
      </c>
      <c r="AM25">
        <v>230</v>
      </c>
      <c r="AN25" s="21">
        <f t="shared" si="19"/>
        <v>2.3000000000000003</v>
      </c>
      <c r="AO25">
        <v>241</v>
      </c>
      <c r="AP25" s="21">
        <f t="shared" ref="AP25" si="25">AO25*0.01</f>
        <v>2.41</v>
      </c>
      <c r="AR25" s="21"/>
      <c r="AS25" s="21">
        <f t="shared" si="21"/>
        <v>2.41</v>
      </c>
      <c r="AT25" s="7">
        <f t="shared" ref="AT25:AT37" si="26">(AS25-AS6)/AS6*100</f>
        <v>127.35849056603774</v>
      </c>
    </row>
    <row r="26" spans="1:46" x14ac:dyDescent="0.25">
      <c r="A26" s="19">
        <v>58</v>
      </c>
      <c r="B26" s="26">
        <v>208</v>
      </c>
      <c r="C26" s="21">
        <f t="shared" si="11"/>
        <v>2.08</v>
      </c>
      <c r="D26">
        <v>209</v>
      </c>
      <c r="E26" s="21">
        <f t="shared" ref="E26:E33" si="27">D26*0.01</f>
        <v>2.09</v>
      </c>
      <c r="G26" s="21"/>
      <c r="H26" s="21"/>
      <c r="I26" s="21"/>
      <c r="J26" s="21">
        <f t="shared" si="12"/>
        <v>2.09</v>
      </c>
      <c r="K26" s="7">
        <f t="shared" si="13"/>
        <v>113.26530612244896</v>
      </c>
      <c r="L26" s="19">
        <v>43</v>
      </c>
      <c r="M26" s="26">
        <v>128</v>
      </c>
      <c r="N26" s="21">
        <f t="shared" ref="N26" si="28">M26*0.01</f>
        <v>1.28</v>
      </c>
      <c r="O26">
        <v>176</v>
      </c>
      <c r="P26" s="21">
        <f t="shared" ref="P26:T30" si="29">O26*0.01</f>
        <v>1.76</v>
      </c>
      <c r="R26" s="21"/>
      <c r="T26" s="21"/>
      <c r="U26" s="22">
        <f t="shared" si="15"/>
        <v>1.76</v>
      </c>
      <c r="V26" s="7">
        <f t="shared" si="23"/>
        <v>80.512820512820511</v>
      </c>
      <c r="W26" s="19">
        <v>28</v>
      </c>
      <c r="X26" s="26">
        <v>241</v>
      </c>
      <c r="Y26" s="21">
        <f t="shared" si="16"/>
        <v>2.41</v>
      </c>
      <c r="AA26" s="21"/>
      <c r="AC26" s="21"/>
      <c r="AE26" s="21"/>
      <c r="AG26" s="21"/>
      <c r="AI26" s="21"/>
      <c r="AJ26" s="21">
        <f t="shared" si="18"/>
        <v>2.41</v>
      </c>
      <c r="AK26" s="7">
        <f t="shared" si="24"/>
        <v>137.43842364532017</v>
      </c>
      <c r="AL26" s="19">
        <v>12</v>
      </c>
      <c r="AM26">
        <v>205</v>
      </c>
      <c r="AN26" s="21">
        <f t="shared" si="19"/>
        <v>2.0499999999999998</v>
      </c>
      <c r="AO26">
        <v>215</v>
      </c>
      <c r="AP26" s="21">
        <f t="shared" ref="AP26" si="30">AO26*0.01</f>
        <v>2.15</v>
      </c>
      <c r="AR26" s="21"/>
      <c r="AS26" s="21">
        <f t="shared" si="21"/>
        <v>2.15</v>
      </c>
      <c r="AT26" s="7">
        <f t="shared" si="26"/>
        <v>122.79792746113991</v>
      </c>
    </row>
    <row r="27" spans="1:46" x14ac:dyDescent="0.25">
      <c r="A27" s="19">
        <v>57</v>
      </c>
      <c r="B27" s="26">
        <v>215</v>
      </c>
      <c r="C27" s="21">
        <f t="shared" si="11"/>
        <v>2.15</v>
      </c>
      <c r="D27">
        <v>170</v>
      </c>
      <c r="E27" s="21">
        <f t="shared" si="27"/>
        <v>1.7</v>
      </c>
      <c r="G27" s="21"/>
      <c r="H27" s="21"/>
      <c r="I27" s="21"/>
      <c r="J27" s="21">
        <f t="shared" si="12"/>
        <v>2.15</v>
      </c>
      <c r="K27" s="7">
        <f t="shared" si="13"/>
        <v>111.82266009852214</v>
      </c>
      <c r="L27" s="19">
        <v>42</v>
      </c>
      <c r="M27" s="26">
        <v>180</v>
      </c>
      <c r="N27" s="21">
        <f t="shared" ref="N27" si="31">M27*0.01</f>
        <v>1.8</v>
      </c>
      <c r="O27">
        <v>195</v>
      </c>
      <c r="P27" s="21">
        <f t="shared" si="29"/>
        <v>1.95</v>
      </c>
      <c r="Q27">
        <v>3</v>
      </c>
      <c r="R27" s="21">
        <f t="shared" si="29"/>
        <v>0.03</v>
      </c>
      <c r="T27" s="21"/>
      <c r="U27" s="22">
        <f t="shared" si="15"/>
        <v>1.95</v>
      </c>
      <c r="V27" s="7">
        <f t="shared" si="23"/>
        <v>98.979591836734699</v>
      </c>
      <c r="W27" s="19">
        <v>27</v>
      </c>
      <c r="X27" s="26">
        <v>209</v>
      </c>
      <c r="Y27" s="21">
        <f t="shared" si="16"/>
        <v>2.09</v>
      </c>
      <c r="Z27">
        <v>256</v>
      </c>
      <c r="AA27" s="21">
        <f t="shared" si="17"/>
        <v>2.56</v>
      </c>
      <c r="AC27" s="21"/>
      <c r="AE27" s="21"/>
      <c r="AG27" s="21"/>
      <c r="AI27" s="21"/>
      <c r="AJ27" s="21">
        <f t="shared" si="18"/>
        <v>2.56</v>
      </c>
      <c r="AK27" s="7">
        <f t="shared" si="24"/>
        <v>153.46534653465346</v>
      </c>
      <c r="AL27" s="19">
        <v>11</v>
      </c>
      <c r="AM27">
        <v>200</v>
      </c>
      <c r="AN27" s="21">
        <f t="shared" si="19"/>
        <v>2</v>
      </c>
      <c r="AO27">
        <v>170</v>
      </c>
      <c r="AP27" s="21">
        <f t="shared" ref="AP27" si="32">AO27*0.01</f>
        <v>1.7</v>
      </c>
      <c r="AR27" s="21"/>
      <c r="AS27" s="21">
        <f t="shared" si="21"/>
        <v>2</v>
      </c>
      <c r="AT27" s="7">
        <f t="shared" si="26"/>
        <v>93.23671497584543</v>
      </c>
    </row>
    <row r="28" spans="1:46" x14ac:dyDescent="0.25">
      <c r="A28" s="19">
        <v>56</v>
      </c>
      <c r="B28" s="26">
        <v>237</v>
      </c>
      <c r="C28" s="21">
        <f t="shared" si="11"/>
        <v>2.37</v>
      </c>
      <c r="D28">
        <v>234</v>
      </c>
      <c r="E28" s="21">
        <f t="shared" si="27"/>
        <v>2.34</v>
      </c>
      <c r="G28" s="21"/>
      <c r="H28" s="21"/>
      <c r="I28" s="21"/>
      <c r="J28" s="21">
        <f t="shared" si="12"/>
        <v>2.37</v>
      </c>
      <c r="K28" s="7">
        <f t="shared" si="13"/>
        <v>134.65346534653466</v>
      </c>
      <c r="L28" s="19">
        <v>41</v>
      </c>
      <c r="M28" s="26">
        <v>315</v>
      </c>
      <c r="N28" s="21">
        <f t="shared" ref="N28" si="33">M28*0.01</f>
        <v>3.15</v>
      </c>
      <c r="O28">
        <v>287</v>
      </c>
      <c r="P28" s="21">
        <f t="shared" si="29"/>
        <v>2.87</v>
      </c>
      <c r="R28" s="21"/>
      <c r="T28" s="21"/>
      <c r="U28" s="22">
        <f t="shared" si="15"/>
        <v>3.15</v>
      </c>
      <c r="V28" s="7">
        <f t="shared" si="23"/>
        <v>201.43540669856458</v>
      </c>
      <c r="W28" s="19">
        <v>26</v>
      </c>
      <c r="X28" s="26">
        <v>250</v>
      </c>
      <c r="Y28" s="21">
        <f t="shared" si="16"/>
        <v>2.5</v>
      </c>
      <c r="AA28" s="21"/>
      <c r="AC28" s="21"/>
      <c r="AE28" s="21"/>
      <c r="AG28" s="21"/>
      <c r="AI28" s="21"/>
      <c r="AJ28" s="21">
        <f t="shared" si="18"/>
        <v>2.5</v>
      </c>
      <c r="AK28" s="7">
        <f t="shared" si="24"/>
        <v>157.73195876288662</v>
      </c>
      <c r="AL28" s="19">
        <v>10</v>
      </c>
      <c r="AM28">
        <v>174</v>
      </c>
      <c r="AN28" s="21">
        <f t="shared" si="19"/>
        <v>1.74</v>
      </c>
      <c r="AO28">
        <v>154</v>
      </c>
      <c r="AP28" s="21">
        <f t="shared" ref="AP28:AP29" si="34">AO28*0.01</f>
        <v>1.54</v>
      </c>
      <c r="AR28" s="21"/>
      <c r="AS28" s="21">
        <f t="shared" si="21"/>
        <v>1.74</v>
      </c>
      <c r="AT28" s="7">
        <f t="shared" si="26"/>
        <v>74</v>
      </c>
    </row>
    <row r="29" spans="1:46" x14ac:dyDescent="0.25">
      <c r="A29" s="19">
        <v>55</v>
      </c>
      <c r="B29" s="26">
        <v>279</v>
      </c>
      <c r="C29" s="21">
        <f t="shared" si="11"/>
        <v>2.79</v>
      </c>
      <c r="D29">
        <v>190</v>
      </c>
      <c r="E29" s="21">
        <f t="shared" si="27"/>
        <v>1.9000000000000001</v>
      </c>
      <c r="F29">
        <v>237</v>
      </c>
      <c r="G29" s="21">
        <f>F29*0.01</f>
        <v>2.37</v>
      </c>
      <c r="H29" s="21"/>
      <c r="I29" s="21"/>
      <c r="J29" s="21">
        <f t="shared" si="12"/>
        <v>2.79</v>
      </c>
      <c r="K29" s="7">
        <f t="shared" si="13"/>
        <v>206.59340659340657</v>
      </c>
      <c r="L29" s="19">
        <v>40</v>
      </c>
      <c r="M29" s="26">
        <v>300</v>
      </c>
      <c r="N29" s="21">
        <f t="shared" ref="N29" si="35">M29*0.01</f>
        <v>3</v>
      </c>
      <c r="P29" s="21"/>
      <c r="R29" s="21"/>
      <c r="T29" s="21"/>
      <c r="U29" s="22">
        <f>MAX(N29,P29, R29,T29)</f>
        <v>3</v>
      </c>
      <c r="V29" s="7">
        <f t="shared" si="23"/>
        <v>215.78947368421049</v>
      </c>
      <c r="W29" s="19">
        <v>25</v>
      </c>
      <c r="X29" s="26">
        <v>110</v>
      </c>
      <c r="Y29" s="21">
        <f t="shared" si="16"/>
        <v>1.1000000000000001</v>
      </c>
      <c r="Z29">
        <v>240</v>
      </c>
      <c r="AA29" s="21">
        <f>Z29*0.01</f>
        <v>2.4</v>
      </c>
      <c r="AB29">
        <v>235</v>
      </c>
      <c r="AC29" s="21">
        <f>AB29*0.01</f>
        <v>2.35</v>
      </c>
      <c r="AE29" s="21"/>
      <c r="AG29" s="21"/>
      <c r="AI29" s="21"/>
      <c r="AJ29" s="21">
        <f t="shared" si="18"/>
        <v>2.4</v>
      </c>
      <c r="AK29" s="7">
        <f t="shared" si="24"/>
        <v>129.66507177033492</v>
      </c>
      <c r="AL29" s="19">
        <v>9</v>
      </c>
      <c r="AM29">
        <v>170</v>
      </c>
      <c r="AN29" s="21">
        <f t="shared" si="19"/>
        <v>1.7</v>
      </c>
      <c r="AO29">
        <v>213</v>
      </c>
      <c r="AP29" s="21">
        <f t="shared" si="34"/>
        <v>2.13</v>
      </c>
      <c r="AR29" s="21"/>
      <c r="AS29" s="21">
        <f t="shared" si="21"/>
        <v>2.13</v>
      </c>
      <c r="AT29" s="7">
        <f t="shared" si="26"/>
        <v>134.06593406593404</v>
      </c>
    </row>
    <row r="30" spans="1:46" x14ac:dyDescent="0.25">
      <c r="A30" s="19">
        <v>54</v>
      </c>
      <c r="B30" s="26">
        <v>258</v>
      </c>
      <c r="C30" s="21">
        <f t="shared" si="11"/>
        <v>2.58</v>
      </c>
      <c r="D30">
        <v>218</v>
      </c>
      <c r="E30" s="21">
        <f t="shared" si="27"/>
        <v>2.1800000000000002</v>
      </c>
      <c r="G30" s="21"/>
      <c r="H30" s="21"/>
      <c r="I30" s="21"/>
      <c r="J30" s="21">
        <f t="shared" si="12"/>
        <v>2.58</v>
      </c>
      <c r="K30" s="7">
        <f t="shared" si="13"/>
        <v>150.48543689320388</v>
      </c>
      <c r="L30" s="19">
        <v>39</v>
      </c>
      <c r="M30" s="26">
        <v>200</v>
      </c>
      <c r="N30" s="21">
        <f t="shared" ref="N30" si="36">M30*0.01</f>
        <v>2</v>
      </c>
      <c r="O30">
        <v>144</v>
      </c>
      <c r="P30" s="21">
        <f t="shared" ref="P30" si="37">O30*0.01</f>
        <v>1.44</v>
      </c>
      <c r="Q30">
        <v>208</v>
      </c>
      <c r="R30" s="21">
        <f t="shared" si="29"/>
        <v>2.08</v>
      </c>
      <c r="S30">
        <v>165</v>
      </c>
      <c r="T30" s="21">
        <f t="shared" si="29"/>
        <v>1.6500000000000001</v>
      </c>
      <c r="U30" s="22">
        <f t="shared" si="15"/>
        <v>2.08</v>
      </c>
      <c r="V30" s="7">
        <f t="shared" si="23"/>
        <v>110.1010101010101</v>
      </c>
      <c r="W30" s="19">
        <v>24</v>
      </c>
      <c r="X30" s="26">
        <v>240</v>
      </c>
      <c r="Y30" s="21">
        <f t="shared" si="16"/>
        <v>2.4</v>
      </c>
      <c r="Z30">
        <v>249</v>
      </c>
      <c r="AA30" s="21">
        <f>Z30*0.01</f>
        <v>2.4900000000000002</v>
      </c>
      <c r="AC30" s="21"/>
      <c r="AE30" s="21"/>
      <c r="AG30" s="21"/>
      <c r="AI30" s="21"/>
      <c r="AJ30" s="21">
        <f t="shared" si="18"/>
        <v>2.4900000000000002</v>
      </c>
      <c r="AK30" s="7">
        <f t="shared" si="24"/>
        <v>151.51515151515153</v>
      </c>
      <c r="AL30" s="19">
        <v>8</v>
      </c>
      <c r="AM30">
        <v>214</v>
      </c>
      <c r="AN30" s="21">
        <f t="shared" si="19"/>
        <v>2.14</v>
      </c>
      <c r="AO30">
        <v>206</v>
      </c>
      <c r="AP30" s="21">
        <f t="shared" ref="AP30" si="38">AO30*0.01</f>
        <v>2.06</v>
      </c>
      <c r="AR30" s="21"/>
      <c r="AS30" s="21">
        <f t="shared" si="21"/>
        <v>2.14</v>
      </c>
      <c r="AT30" s="7">
        <f t="shared" si="26"/>
        <v>132.60869565217394</v>
      </c>
    </row>
    <row r="31" spans="1:46" x14ac:dyDescent="0.25">
      <c r="A31" s="19">
        <v>53</v>
      </c>
      <c r="B31" s="26">
        <v>238</v>
      </c>
      <c r="C31" s="21">
        <f t="shared" si="11"/>
        <v>2.38</v>
      </c>
      <c r="D31">
        <v>236</v>
      </c>
      <c r="E31" s="21">
        <f t="shared" si="27"/>
        <v>2.36</v>
      </c>
      <c r="G31" s="21"/>
      <c r="H31" s="21"/>
      <c r="I31" s="21"/>
      <c r="J31" s="21">
        <f t="shared" si="12"/>
        <v>2.38</v>
      </c>
      <c r="K31" s="7">
        <f t="shared" si="13"/>
        <v>147.91666666666669</v>
      </c>
      <c r="L31" s="19">
        <v>38</v>
      </c>
      <c r="M31" s="26">
        <v>218</v>
      </c>
      <c r="N31" s="21">
        <f t="shared" ref="N31" si="39">M31*0.01</f>
        <v>2.1800000000000002</v>
      </c>
      <c r="P31" s="21"/>
      <c r="R31" s="21"/>
      <c r="T31" s="21"/>
      <c r="U31" s="22">
        <f t="shared" si="15"/>
        <v>2.1800000000000002</v>
      </c>
      <c r="V31" s="7">
        <f t="shared" si="23"/>
        <v>157.9881656804734</v>
      </c>
      <c r="W31" s="19">
        <v>23</v>
      </c>
      <c r="X31" s="26">
        <v>101</v>
      </c>
      <c r="Y31" s="21">
        <f t="shared" si="16"/>
        <v>1.01</v>
      </c>
      <c r="Z31">
        <v>235</v>
      </c>
      <c r="AA31" s="21">
        <f t="shared" ref="AA31" si="40">Z31*0.01</f>
        <v>2.35</v>
      </c>
      <c r="AB31">
        <v>188</v>
      </c>
      <c r="AC31" s="21">
        <f t="shared" ref="AC31" si="41">AB31*0.01</f>
        <v>1.8800000000000001</v>
      </c>
      <c r="AD31">
        <v>179</v>
      </c>
      <c r="AE31" s="21">
        <f t="shared" ref="AE31" si="42">AD31*0.01</f>
        <v>1.79</v>
      </c>
      <c r="AF31">
        <v>215</v>
      </c>
      <c r="AG31" s="21">
        <f t="shared" ref="AG31" si="43">AF31*0.01</f>
        <v>2.15</v>
      </c>
      <c r="AH31">
        <v>234</v>
      </c>
      <c r="AI31" s="21">
        <f t="shared" ref="AI31" si="44">AH31*0.01</f>
        <v>2.34</v>
      </c>
      <c r="AJ31" s="21">
        <f t="shared" si="18"/>
        <v>2.35</v>
      </c>
      <c r="AK31" s="7">
        <f t="shared" si="24"/>
        <v>135</v>
      </c>
      <c r="AL31" s="19">
        <v>7</v>
      </c>
      <c r="AM31">
        <v>169</v>
      </c>
      <c r="AN31" s="21">
        <f t="shared" si="19"/>
        <v>1.69</v>
      </c>
      <c r="AO31">
        <v>173</v>
      </c>
      <c r="AP31" s="21">
        <f t="shared" ref="AP31" si="45">AO31*0.01</f>
        <v>1.73</v>
      </c>
      <c r="AQ31">
        <v>215</v>
      </c>
      <c r="AR31" s="21">
        <f t="shared" ref="AR31" si="46">AQ31*0.01</f>
        <v>2.15</v>
      </c>
      <c r="AS31" s="21">
        <f t="shared" si="21"/>
        <v>2.15</v>
      </c>
      <c r="AT31" s="7">
        <f t="shared" si="26"/>
        <v>100.93457943925233</v>
      </c>
    </row>
    <row r="32" spans="1:46" x14ac:dyDescent="0.25">
      <c r="A32" s="19">
        <v>52</v>
      </c>
      <c r="B32" s="26">
        <v>253</v>
      </c>
      <c r="C32" s="21">
        <f t="shared" si="11"/>
        <v>2.5300000000000002</v>
      </c>
      <c r="D32">
        <v>263</v>
      </c>
      <c r="E32" s="21">
        <f t="shared" si="27"/>
        <v>2.63</v>
      </c>
      <c r="G32" s="21"/>
      <c r="H32" s="21"/>
      <c r="I32" s="21"/>
      <c r="J32" s="21">
        <f t="shared" si="12"/>
        <v>2.63</v>
      </c>
      <c r="K32" s="7">
        <f t="shared" si="13"/>
        <v>155.33980582524271</v>
      </c>
      <c r="L32" s="19">
        <v>37</v>
      </c>
      <c r="M32" s="26">
        <v>272</v>
      </c>
      <c r="N32" s="21">
        <f t="shared" ref="N32" si="47">M32*0.01</f>
        <v>2.72</v>
      </c>
      <c r="O32">
        <v>240</v>
      </c>
      <c r="P32" s="21">
        <f t="shared" ref="P32:P33" si="48">O32*0.01</f>
        <v>2.4</v>
      </c>
      <c r="R32" s="21"/>
      <c r="T32" s="21"/>
      <c r="U32" s="22">
        <f t="shared" si="15"/>
        <v>2.72</v>
      </c>
      <c r="V32" s="7">
        <f t="shared" si="23"/>
        <v>173.36683417085428</v>
      </c>
      <c r="W32" s="19">
        <v>22</v>
      </c>
      <c r="X32" s="26">
        <v>260</v>
      </c>
      <c r="Y32" s="21">
        <f t="shared" si="16"/>
        <v>2.6</v>
      </c>
      <c r="AC32" s="21"/>
      <c r="AE32" s="21"/>
      <c r="AG32" s="21"/>
      <c r="AI32" s="21"/>
      <c r="AJ32" s="21">
        <f t="shared" si="18"/>
        <v>2.6</v>
      </c>
      <c r="AK32" s="7">
        <f t="shared" si="24"/>
        <v>160</v>
      </c>
      <c r="AL32" s="19">
        <v>6</v>
      </c>
      <c r="AM32">
        <v>240</v>
      </c>
      <c r="AN32" s="21">
        <f t="shared" si="19"/>
        <v>2.4</v>
      </c>
      <c r="AP32" s="21"/>
      <c r="AR32" s="21"/>
      <c r="AS32" s="21">
        <f t="shared" si="21"/>
        <v>2.4</v>
      </c>
      <c r="AT32" s="7">
        <f t="shared" si="26"/>
        <v>128.57142857142856</v>
      </c>
    </row>
    <row r="33" spans="1:46" x14ac:dyDescent="0.25">
      <c r="A33" s="19">
        <v>51</v>
      </c>
      <c r="B33" s="26">
        <v>256</v>
      </c>
      <c r="C33" s="21">
        <f t="shared" si="11"/>
        <v>2.56</v>
      </c>
      <c r="D33">
        <v>222</v>
      </c>
      <c r="E33" s="21">
        <f t="shared" si="27"/>
        <v>2.2200000000000002</v>
      </c>
      <c r="G33" s="21"/>
      <c r="H33" s="21"/>
      <c r="I33" s="21"/>
      <c r="J33" s="21">
        <f t="shared" si="12"/>
        <v>2.56</v>
      </c>
      <c r="K33" s="7">
        <f t="shared" si="13"/>
        <v>156</v>
      </c>
      <c r="L33" s="19">
        <v>36</v>
      </c>
      <c r="M33" s="26">
        <v>218</v>
      </c>
      <c r="N33" s="21">
        <f t="shared" ref="N33" si="49">M33*0.01</f>
        <v>2.1800000000000002</v>
      </c>
      <c r="O33">
        <v>323</v>
      </c>
      <c r="P33" s="21">
        <f t="shared" si="48"/>
        <v>3.23</v>
      </c>
      <c r="Q33">
        <v>293</v>
      </c>
      <c r="R33" s="21">
        <f t="shared" ref="R33" si="50">Q33*0.01</f>
        <v>2.93</v>
      </c>
      <c r="T33" s="21"/>
      <c r="U33" s="22">
        <f t="shared" si="15"/>
        <v>3.23</v>
      </c>
      <c r="V33" s="7">
        <f t="shared" si="23"/>
        <v>243.61702127659575</v>
      </c>
      <c r="W33" s="19">
        <v>21</v>
      </c>
      <c r="X33" s="26">
        <v>275</v>
      </c>
      <c r="Y33" s="21">
        <f t="shared" si="16"/>
        <v>2.75</v>
      </c>
      <c r="Z33">
        <v>194</v>
      </c>
      <c r="AA33" s="21">
        <f>Z33*0.01</f>
        <v>1.94</v>
      </c>
      <c r="AB33">
        <v>232</v>
      </c>
      <c r="AC33" s="21">
        <f>AB33*0.01</f>
        <v>2.3199999999999998</v>
      </c>
      <c r="AD33">
        <v>226</v>
      </c>
      <c r="AE33" s="21">
        <f>AD33*0.01</f>
        <v>2.2600000000000002</v>
      </c>
      <c r="AG33" s="21"/>
      <c r="AI33" s="21"/>
      <c r="AJ33" s="21">
        <f t="shared" si="18"/>
        <v>2.75</v>
      </c>
      <c r="AK33" s="7">
        <f t="shared" si="24"/>
        <v>179.18781725888326</v>
      </c>
      <c r="AL33" s="19">
        <v>5</v>
      </c>
      <c r="AM33">
        <v>221</v>
      </c>
      <c r="AN33" s="21">
        <f t="shared" si="19"/>
        <v>2.21</v>
      </c>
      <c r="AO33">
        <v>235</v>
      </c>
      <c r="AP33" s="21">
        <f t="shared" ref="AP33" si="51">AO33*0.01</f>
        <v>2.35</v>
      </c>
      <c r="AR33" s="21"/>
      <c r="AS33" s="21">
        <f t="shared" si="21"/>
        <v>2.35</v>
      </c>
      <c r="AT33" s="7">
        <f t="shared" si="26"/>
        <v>155.43478260869566</v>
      </c>
    </row>
    <row r="34" spans="1:46" x14ac:dyDescent="0.25">
      <c r="A34" s="19">
        <v>50</v>
      </c>
      <c r="B34" s="26">
        <v>240</v>
      </c>
      <c r="C34" s="21">
        <f t="shared" si="11"/>
        <v>2.4</v>
      </c>
      <c r="E34" s="21"/>
      <c r="F34" s="21"/>
      <c r="G34" s="21"/>
      <c r="H34" s="21"/>
      <c r="I34" s="21"/>
      <c r="J34" s="21">
        <f t="shared" si="12"/>
        <v>2.4</v>
      </c>
      <c r="K34" s="7">
        <f t="shared" si="13"/>
        <v>137.62376237623761</v>
      </c>
      <c r="L34" s="19">
        <v>35</v>
      </c>
      <c r="M34" s="26">
        <v>249</v>
      </c>
      <c r="N34" s="21">
        <f t="shared" ref="N34" si="52">M34*0.01</f>
        <v>2.4900000000000002</v>
      </c>
      <c r="O34">
        <v>315</v>
      </c>
      <c r="P34" s="21"/>
      <c r="R34" s="21"/>
      <c r="T34" s="21"/>
      <c r="U34" s="22">
        <f t="shared" si="15"/>
        <v>2.4900000000000002</v>
      </c>
      <c r="V34" s="7">
        <f t="shared" si="23"/>
        <v>169.18918918918919</v>
      </c>
      <c r="W34" s="19">
        <v>20</v>
      </c>
      <c r="X34" s="26">
        <v>219</v>
      </c>
      <c r="Y34" s="21">
        <f t="shared" si="16"/>
        <v>2.19</v>
      </c>
      <c r="Z34">
        <v>172</v>
      </c>
      <c r="AA34" s="21">
        <f>Z34*0.01</f>
        <v>1.72</v>
      </c>
      <c r="AB34">
        <v>190</v>
      </c>
      <c r="AC34" s="21">
        <f t="shared" ref="AC34" si="53">AB34*0.01</f>
        <v>1.9000000000000001</v>
      </c>
      <c r="AD34">
        <v>111</v>
      </c>
      <c r="AE34" s="21">
        <f t="shared" ref="AE34" si="54">AD34*0.01</f>
        <v>1.1100000000000001</v>
      </c>
      <c r="AF34">
        <v>268</v>
      </c>
      <c r="AG34" s="21">
        <f t="shared" ref="AG34" si="55">AF34*0.01</f>
        <v>2.68</v>
      </c>
      <c r="AI34" s="21"/>
      <c r="AJ34" s="21">
        <f t="shared" si="18"/>
        <v>2.68</v>
      </c>
      <c r="AK34" s="7">
        <f t="shared" si="24"/>
        <v>170.70707070707073</v>
      </c>
      <c r="AL34" s="19">
        <v>4</v>
      </c>
      <c r="AM34">
        <v>202</v>
      </c>
      <c r="AN34" s="21">
        <f t="shared" si="19"/>
        <v>2.02</v>
      </c>
      <c r="AO34">
        <v>240</v>
      </c>
      <c r="AP34" s="21">
        <f t="shared" ref="AP34" si="56">AO34*0.01</f>
        <v>2.4</v>
      </c>
      <c r="AR34" s="21"/>
      <c r="AS34" s="21">
        <f t="shared" si="21"/>
        <v>2.4</v>
      </c>
      <c r="AT34" s="7">
        <f t="shared" si="26"/>
        <v>155.31914893617019</v>
      </c>
    </row>
    <row r="35" spans="1:46" x14ac:dyDescent="0.25">
      <c r="A35" s="19">
        <v>49</v>
      </c>
      <c r="B35" s="26">
        <v>249</v>
      </c>
      <c r="C35" s="21">
        <f t="shared" si="11"/>
        <v>2.4900000000000002</v>
      </c>
      <c r="E35" s="21"/>
      <c r="F35" s="21"/>
      <c r="G35" s="21"/>
      <c r="H35" s="21"/>
      <c r="I35" s="21"/>
      <c r="J35" s="21">
        <f t="shared" si="12"/>
        <v>2.4900000000000002</v>
      </c>
      <c r="K35" s="7">
        <f t="shared" si="13"/>
        <v>146.53465346534657</v>
      </c>
      <c r="L35" s="19">
        <v>34</v>
      </c>
      <c r="M35" s="26">
        <v>312</v>
      </c>
      <c r="N35" s="21">
        <f t="shared" ref="N35" si="57">M35*0.01</f>
        <v>3.12</v>
      </c>
      <c r="O35">
        <v>313</v>
      </c>
      <c r="P35" s="21">
        <f t="shared" ref="P35" si="58">O35*0.01</f>
        <v>3.13</v>
      </c>
      <c r="R35" s="21"/>
      <c r="T35" s="21"/>
      <c r="U35" s="22">
        <f t="shared" si="15"/>
        <v>3.13</v>
      </c>
      <c r="V35" s="7">
        <f t="shared" si="23"/>
        <v>198.0952380952381</v>
      </c>
      <c r="W35" s="19">
        <v>19</v>
      </c>
      <c r="X35" s="26">
        <v>222</v>
      </c>
      <c r="Y35" s="21">
        <f t="shared" si="16"/>
        <v>2.2200000000000002</v>
      </c>
      <c r="Z35">
        <v>229</v>
      </c>
      <c r="AA35" s="21">
        <f t="shared" ref="AA35:AA36" si="59">Z35*0.01</f>
        <v>2.29</v>
      </c>
      <c r="AB35">
        <v>148</v>
      </c>
      <c r="AC35" s="21">
        <f t="shared" ref="AC35" si="60">AB35*0.01</f>
        <v>1.48</v>
      </c>
      <c r="AE35" s="21"/>
      <c r="AG35" s="21"/>
      <c r="AI35" s="21"/>
      <c r="AJ35" s="21">
        <f t="shared" si="18"/>
        <v>2.29</v>
      </c>
      <c r="AK35" s="7">
        <f t="shared" si="24"/>
        <v>139.79057591623035</v>
      </c>
      <c r="AL35" s="19">
        <v>3</v>
      </c>
      <c r="AM35">
        <v>210</v>
      </c>
      <c r="AN35" s="21">
        <f t="shared" si="19"/>
        <v>2.1</v>
      </c>
      <c r="AP35" s="21"/>
      <c r="AR35" s="21"/>
      <c r="AS35" s="21">
        <f t="shared" si="21"/>
        <v>2.1</v>
      </c>
      <c r="AT35" s="7">
        <f t="shared" si="26"/>
        <v>105.88235294117648</v>
      </c>
    </row>
    <row r="36" spans="1:46" x14ac:dyDescent="0.25">
      <c r="A36" s="19">
        <v>48</v>
      </c>
      <c r="B36" s="26">
        <v>245</v>
      </c>
      <c r="C36" s="21">
        <f t="shared" si="11"/>
        <v>2.4500000000000002</v>
      </c>
      <c r="D36">
        <v>218</v>
      </c>
      <c r="E36" s="21">
        <f t="shared" ref="E36" si="61">D36*0.01</f>
        <v>2.1800000000000002</v>
      </c>
      <c r="F36" s="21"/>
      <c r="G36" s="21"/>
      <c r="H36" s="21"/>
      <c r="I36" s="21"/>
      <c r="J36" s="21">
        <f t="shared" si="12"/>
        <v>2.4500000000000002</v>
      </c>
      <c r="K36" s="7">
        <f t="shared" si="13"/>
        <v>149.49083503054987</v>
      </c>
      <c r="L36" s="19">
        <v>33</v>
      </c>
      <c r="M36" s="26">
        <v>346</v>
      </c>
      <c r="N36" s="21">
        <f t="shared" ref="N36" si="62">M36*0.01</f>
        <v>3.46</v>
      </c>
      <c r="O36">
        <v>348</v>
      </c>
      <c r="P36" s="21">
        <f t="shared" ref="P36:P37" si="63">O36*0.01</f>
        <v>3.48</v>
      </c>
      <c r="Q36">
        <v>309</v>
      </c>
      <c r="R36" s="21">
        <f>Q36*0.01</f>
        <v>3.09</v>
      </c>
      <c r="T36" s="21"/>
      <c r="U36" s="22">
        <f t="shared" si="15"/>
        <v>3.48</v>
      </c>
      <c r="V36" s="7">
        <f t="shared" si="23"/>
        <v>241.17647058823528</v>
      </c>
      <c r="W36" s="19">
        <v>18</v>
      </c>
      <c r="X36" s="26">
        <v>249</v>
      </c>
      <c r="Y36" s="21">
        <f t="shared" si="16"/>
        <v>2.4900000000000002</v>
      </c>
      <c r="Z36">
        <v>230</v>
      </c>
      <c r="AA36" s="21">
        <f t="shared" si="59"/>
        <v>2.3000000000000003</v>
      </c>
      <c r="AC36" s="21"/>
      <c r="AE36" s="21"/>
      <c r="AG36" s="21"/>
      <c r="AI36" s="21"/>
      <c r="AJ36" s="21">
        <f t="shared" si="18"/>
        <v>2.4900000000000002</v>
      </c>
      <c r="AK36" s="7">
        <f t="shared" si="24"/>
        <v>149.00000000000003</v>
      </c>
      <c r="AL36" s="19">
        <v>2</v>
      </c>
      <c r="AM36">
        <v>238</v>
      </c>
      <c r="AN36" s="21">
        <f t="shared" si="19"/>
        <v>2.38</v>
      </c>
      <c r="AP36" s="21"/>
      <c r="AR36" s="21"/>
      <c r="AS36" s="21">
        <f t="shared" si="21"/>
        <v>2.38</v>
      </c>
      <c r="AT36" s="7">
        <f t="shared" si="26"/>
        <v>131.06796116504853</v>
      </c>
    </row>
    <row r="37" spans="1:46" x14ac:dyDescent="0.25">
      <c r="A37" s="19">
        <v>47</v>
      </c>
      <c r="B37" s="26">
        <v>207</v>
      </c>
      <c r="C37" s="21">
        <f t="shared" si="11"/>
        <v>2.0699999999999998</v>
      </c>
      <c r="E37" s="21"/>
      <c r="F37" s="21"/>
      <c r="G37" s="21"/>
      <c r="H37" s="21"/>
      <c r="I37" s="21"/>
      <c r="J37" s="21">
        <f t="shared" si="12"/>
        <v>2.0699999999999998</v>
      </c>
      <c r="K37" s="7">
        <f t="shared" si="13"/>
        <v>97.142857142857125</v>
      </c>
      <c r="L37" s="24">
        <v>32</v>
      </c>
      <c r="M37" s="26">
        <v>240</v>
      </c>
      <c r="N37" s="21">
        <f t="shared" ref="N37" si="64">M37*0.01</f>
        <v>2.4</v>
      </c>
      <c r="O37">
        <v>183</v>
      </c>
      <c r="P37" s="21">
        <f t="shared" si="63"/>
        <v>1.83</v>
      </c>
      <c r="Q37">
        <v>220</v>
      </c>
      <c r="R37" s="21">
        <f t="shared" ref="R37" si="65">Q37*0.01</f>
        <v>2.2000000000000002</v>
      </c>
      <c r="T37" s="21"/>
      <c r="U37" s="22">
        <f t="shared" si="15"/>
        <v>2.4</v>
      </c>
      <c r="V37" s="7">
        <f t="shared" si="23"/>
        <v>166.66666666666666</v>
      </c>
      <c r="W37" s="24">
        <v>17</v>
      </c>
      <c r="X37" s="26">
        <v>194</v>
      </c>
      <c r="Y37" s="21">
        <f t="shared" si="16"/>
        <v>1.94</v>
      </c>
      <c r="AA37" s="21"/>
      <c r="AC37" s="21"/>
      <c r="AE37" s="21"/>
      <c r="AG37" s="21"/>
      <c r="AI37" s="21"/>
      <c r="AJ37" s="21">
        <f t="shared" si="18"/>
        <v>1.94</v>
      </c>
      <c r="AK37" s="7">
        <f t="shared" si="24"/>
        <v>104.21052631578947</v>
      </c>
      <c r="AL37" s="24">
        <v>1</v>
      </c>
      <c r="AM37">
        <v>160</v>
      </c>
      <c r="AN37" s="21">
        <f t="shared" si="19"/>
        <v>1.6</v>
      </c>
      <c r="AO37">
        <v>187</v>
      </c>
      <c r="AP37" s="21">
        <f t="shared" ref="AP37" si="66">AO37*0.01</f>
        <v>1.87</v>
      </c>
      <c r="AQ37">
        <v>151</v>
      </c>
      <c r="AR37" s="21">
        <f t="shared" ref="AR37" si="67">AQ37*0.01</f>
        <v>1.51</v>
      </c>
      <c r="AS37" s="21">
        <f t="shared" si="21"/>
        <v>1.87</v>
      </c>
      <c r="AT37" s="7">
        <f t="shared" si="26"/>
        <v>94.791666666666686</v>
      </c>
    </row>
    <row r="38" spans="1:46" x14ac:dyDescent="0.25">
      <c r="J38" s="5">
        <f>AVERAGE(J23:J37)</f>
        <v>2.3606666666666665</v>
      </c>
      <c r="K38" s="5"/>
      <c r="U38" s="5">
        <f>AVERAGE(U23:U37)</f>
        <v>2.4193333333333333</v>
      </c>
      <c r="AJ38" s="5">
        <f>AVERAGE(AJ23:AJ37)</f>
        <v>2.39</v>
      </c>
      <c r="AS38" s="5">
        <f>AVERAGE(AS23:AS37)</f>
        <v>2.0880000000000001</v>
      </c>
    </row>
    <row r="39" spans="1:46" ht="30" x14ac:dyDescent="0.25">
      <c r="A39" s="27" t="s">
        <v>26</v>
      </c>
      <c r="B39" s="19" t="s">
        <v>20</v>
      </c>
      <c r="C39" s="19"/>
      <c r="D39" s="27" t="s">
        <v>34</v>
      </c>
      <c r="E39" s="19" t="s">
        <v>20</v>
      </c>
      <c r="L39" s="27" t="s">
        <v>26</v>
      </c>
      <c r="M39" s="19" t="s">
        <v>20</v>
      </c>
      <c r="N39" s="19"/>
      <c r="O39" s="27" t="s">
        <v>34</v>
      </c>
      <c r="P39" s="19" t="s">
        <v>20</v>
      </c>
      <c r="T39" s="5"/>
      <c r="W39" s="27" t="s">
        <v>26</v>
      </c>
      <c r="X39" s="19" t="s">
        <v>20</v>
      </c>
      <c r="Y39" s="19"/>
      <c r="Z39" s="27" t="s">
        <v>34</v>
      </c>
      <c r="AA39" s="19" t="s">
        <v>20</v>
      </c>
      <c r="AE39" s="5"/>
      <c r="AF39" s="5"/>
      <c r="AL39" s="27" t="s">
        <v>26</v>
      </c>
      <c r="AM39" s="19" t="s">
        <v>20</v>
      </c>
      <c r="AN39" s="19"/>
      <c r="AO39" s="27" t="s">
        <v>34</v>
      </c>
      <c r="AP39" s="19" t="s">
        <v>20</v>
      </c>
    </row>
    <row r="40" spans="1:46" x14ac:dyDescent="0.25">
      <c r="A40" t="s">
        <v>33</v>
      </c>
      <c r="B40">
        <f>COUNTIFS($J$4:$J$18,"&gt;=1.05", $J$4:$J$18, "&lt;1.07")</f>
        <v>1</v>
      </c>
      <c r="D40" t="s">
        <v>41</v>
      </c>
      <c r="E40">
        <f>COUNTIFS($J$23:$J$37,"&gt;=2.67", $J$23:$J$37, "=&lt;2.79")</f>
        <v>0</v>
      </c>
      <c r="H40" s="5"/>
      <c r="L40" t="s">
        <v>33</v>
      </c>
      <c r="M40">
        <f>COUNTIFS($U$4:$U$18,"&gt;=1.05", $U$4:$U$18, "&lt;=1.07")</f>
        <v>1</v>
      </c>
      <c r="O40" t="s">
        <v>50</v>
      </c>
      <c r="P40">
        <f>COUNTIFS($U$23:$U$37,"&gt;=3.18", $U$23:$U$37, "&lt;=3.48")</f>
        <v>2</v>
      </c>
      <c r="T40" s="5"/>
      <c r="U40" s="5"/>
      <c r="V40" s="5"/>
      <c r="W40" t="s">
        <v>33</v>
      </c>
      <c r="X40">
        <f>COUNTIFS($AJ$4:$AJ$18,"&gt;=1.05", $AJ$4:$AJ$18, "&lt;=1.07")</f>
        <v>0</v>
      </c>
      <c r="Z40" t="s">
        <v>51</v>
      </c>
      <c r="AA40">
        <f>COUNTIFS($AJ$23:$AJ$37,"&gt;=2.57", $AJ$23:$AJ$37, "&lt;=2.62")</f>
        <v>1</v>
      </c>
      <c r="AE40" s="5"/>
      <c r="AL40" t="s">
        <v>33</v>
      </c>
      <c r="AM40">
        <f>COUNTIFS($AS$4:$AS$18,"&gt;1.05", $AS$4:$AS$18, "&lt;=1.07")</f>
        <v>2</v>
      </c>
      <c r="AO40" t="s">
        <v>58</v>
      </c>
      <c r="AP40">
        <f>COUNTIFS($AS$23:$AS$37,"&gt;=2.17", $AS$23:$AS$37, "&lt;=2.41")</f>
        <v>5</v>
      </c>
      <c r="AR40" s="5"/>
      <c r="AS40" s="5"/>
      <c r="AT40" s="5"/>
    </row>
    <row r="41" spans="1:46" x14ac:dyDescent="0.25">
      <c r="A41" t="s">
        <v>27</v>
      </c>
      <c r="B41">
        <f>COUNTIFS($J$4:$J$18,"&gt;=1.02",$J$4:$J$18,"&lt;1.05")</f>
        <v>2</v>
      </c>
      <c r="D41" t="s">
        <v>40</v>
      </c>
      <c r="E41">
        <f>COUNTIFS($J$23:$J$37,"&gt;=2.55", $J$23:$J$37, "&lt;=2.67")</f>
        <v>3</v>
      </c>
      <c r="H41" s="5"/>
      <c r="L41" t="s">
        <v>27</v>
      </c>
      <c r="M41">
        <f>COUNTIFS(U$4:$U$18,"&gt;=1.02",U$4:$U$18,"&lt;=1.05")</f>
        <v>3</v>
      </c>
      <c r="O41" t="s">
        <v>44</v>
      </c>
      <c r="P41">
        <f>COUNTIFS($U$23:$U$37,"&gt;=2.88", $U$23:$U$37, "&lt;=3.18")</f>
        <v>3</v>
      </c>
      <c r="W41" t="s">
        <v>27</v>
      </c>
      <c r="X41">
        <f>COUNTIFS($AJ$4:$AJ$18,"&gt;=1.02",$AJ$4:$AJ$18,"&lt;=1.05")</f>
        <v>1</v>
      </c>
      <c r="Z41" t="s">
        <v>52</v>
      </c>
      <c r="AA41">
        <f>COUNTIFS($AJ$23:$AJ$37,"&gt;=2.5", $AJ$23:$AJ$37, "&lt;=2.62")</f>
        <v>3</v>
      </c>
      <c r="AL41" t="s">
        <v>27</v>
      </c>
      <c r="AM41">
        <f>COUNTIFS($AS$4:$AS$18,"&gt;=1.02",$AS$4:$AS$18,"&lt;=1.05")</f>
        <v>4</v>
      </c>
      <c r="AO41" t="s">
        <v>59</v>
      </c>
      <c r="AP41">
        <f>COUNTIFS($AS$23:$AS$37,"&gt;=1.9", $AS$23:$AS$37, "&lt;=2.17")</f>
        <v>6</v>
      </c>
      <c r="AR41" s="5"/>
      <c r="AS41" s="5"/>
      <c r="AT41" s="5"/>
    </row>
    <row r="42" spans="1:46" x14ac:dyDescent="0.25">
      <c r="A42" t="s">
        <v>28</v>
      </c>
      <c r="B42">
        <f>COUNTIFS($J$4:$J$18,"&gt;=0.99",$J$4:$J$18,"&lt;1.02")</f>
        <v>5</v>
      </c>
      <c r="D42" t="s">
        <v>39</v>
      </c>
      <c r="E42">
        <f>COUNTIFS($J$23:$J$37,"&gt;=2.43", $J$23:$J$37, "&lt;=2.55")</f>
        <v>2</v>
      </c>
      <c r="L42" t="s">
        <v>28</v>
      </c>
      <c r="M42">
        <f>COUNTIFS(U$4:$U$18,"&gt;=0.99",U$4:$U$18,"&lt;1.02")</f>
        <v>4</v>
      </c>
      <c r="O42" t="s">
        <v>45</v>
      </c>
      <c r="P42">
        <f>COUNTIFS($U$23:$U$37,"&gt;=2.58", $U$23:$U$37, "&lt;=2.88")</f>
        <v>1</v>
      </c>
      <c r="T42" s="5"/>
      <c r="W42" t="s">
        <v>28</v>
      </c>
      <c r="X42">
        <f>COUNTIFS($AJ$4:$AJ$18,"&gt;=0.99",$AJ$4:$AJ$18,"&lt;1.02")</f>
        <v>8</v>
      </c>
      <c r="Z42" t="s">
        <v>53</v>
      </c>
      <c r="AA42">
        <f>COUNTIFS($AJ$23:$AJ$37,"&gt;=2.37", $AJ$23:$AJ$37, "&lt;=2.5")</f>
        <v>5</v>
      </c>
      <c r="AE42" s="5"/>
      <c r="AL42" t="s">
        <v>28</v>
      </c>
      <c r="AM42">
        <f>COUNTIFS($AS$4:$AS$18,"&gt;=0.99",$AS$4:$AS$18,"&lt;1.02")</f>
        <v>3</v>
      </c>
      <c r="AO42" t="s">
        <v>60</v>
      </c>
      <c r="AP42">
        <f>COUNTIFS($AS$23:$AS$37,"&gt;=1.68", $AS$23:$AS$37, "&lt;=1.92")</f>
        <v>3</v>
      </c>
    </row>
    <row r="43" spans="1:46" x14ac:dyDescent="0.25">
      <c r="A43" t="s">
        <v>29</v>
      </c>
      <c r="B43">
        <f>COUNTIFS($J$4:$J$18,"&gt;=0.96",$J$4:$J$18,"&lt;0.99")</f>
        <v>5</v>
      </c>
      <c r="D43" t="s">
        <v>38</v>
      </c>
      <c r="E43">
        <f>COUNTIFS($J$23:$J$37,"&gt;=2.31", $J$23:$J$37, "&lt;=2.43")</f>
        <v>4</v>
      </c>
      <c r="L43" t="s">
        <v>29</v>
      </c>
      <c r="M43">
        <f>COUNTIFS(U$4:$U$18,"&gt;=0.96",U$4:$U$18,"&lt;0.99")</f>
        <v>3</v>
      </c>
      <c r="O43" t="s">
        <v>46</v>
      </c>
      <c r="P43">
        <f>COUNTIFS($U$23:$U$37,"&gt;=2.28", $U$23:$U$37, "&lt;=2.58")</f>
        <v>2</v>
      </c>
      <c r="T43" s="5"/>
      <c r="W43" t="s">
        <v>29</v>
      </c>
      <c r="X43">
        <f>COUNTIFS($AJ$4:$AJ$18,"&gt;=0.96",$AJ$4:$AJ$18,"&lt;0.99")</f>
        <v>3</v>
      </c>
      <c r="Z43" t="s">
        <v>54</v>
      </c>
      <c r="AA43">
        <f>COUNTIFS($AJ$23:$AJ$37,"&gt;=2.25", $AJ$23:$AJ$37, "&lt;=2.37")</f>
        <v>3</v>
      </c>
      <c r="AE43" s="5"/>
      <c r="AL43" t="s">
        <v>29</v>
      </c>
      <c r="AM43">
        <f>COUNTIFS($AS$4:$AS$18,"&gt;=0.96",$AS$4:$AS$18,"&lt;0.99")</f>
        <v>2</v>
      </c>
      <c r="AO43" t="s">
        <v>61</v>
      </c>
      <c r="AP43">
        <f>COUNTIFS($AS$23:$AS$37,"&gt;=1.43", $AS$23:$AS$37, "&lt;=1.68")</f>
        <v>0</v>
      </c>
    </row>
    <row r="44" spans="1:46" x14ac:dyDescent="0.25">
      <c r="A44" t="s">
        <v>30</v>
      </c>
      <c r="B44">
        <f>COUNTIFS($J$4:$J$18,"&gt;=0.93",$J$4:$J$18,"&lt;0.96")</f>
        <v>0</v>
      </c>
      <c r="D44" t="s">
        <v>37</v>
      </c>
      <c r="E44">
        <f>COUNTIFS($J$23:$J$37,"&gt;=2.19", $J$23:$J$37, "&lt;=2.31")</f>
        <v>0</v>
      </c>
      <c r="L44" t="s">
        <v>30</v>
      </c>
      <c r="M44">
        <f>COUNTIFS(U$4:$U$18,"&gt;=0.93",U$4:$U$18,"&lt;0.96")</f>
        <v>2</v>
      </c>
      <c r="O44" t="s">
        <v>47</v>
      </c>
      <c r="P44">
        <f>COUNTIFS($U$23:$U$37,"&gt;=1.98", $U$23:$U$37, "&lt;=2.28")</f>
        <v>2</v>
      </c>
      <c r="T44" s="5"/>
      <c r="W44" t="s">
        <v>30</v>
      </c>
      <c r="X44">
        <f>COUNTIFS($AJ$4:$AJ$18,"&gt;=0.93",$AJ$4:$AJ$18,"&lt;0.96")</f>
        <v>2</v>
      </c>
      <c r="Z44" t="s">
        <v>55</v>
      </c>
      <c r="AA44">
        <f>COUNTIFS($AJ$23:$AJ$37,"&gt;=2.12", $AJ$23:$AJ$37, "&lt;=2.25")</f>
        <v>1</v>
      </c>
      <c r="AE44" s="5"/>
      <c r="AL44" t="s">
        <v>30</v>
      </c>
      <c r="AM44">
        <f>COUNTIFS($AS$4:$AS$18,"&gt;=0.93",$AS$4:$AS$18,"&lt;0.96")</f>
        <v>1</v>
      </c>
      <c r="AO44" t="s">
        <v>62</v>
      </c>
      <c r="AP44">
        <f>COUNTIFS($AS$23:$AS$37,"&gt;=1.19", $AS$23:$AS$37, "&lt;=1.43")</f>
        <v>1</v>
      </c>
      <c r="AR44" s="5"/>
    </row>
    <row r="45" spans="1:46" x14ac:dyDescent="0.25">
      <c r="A45" t="s">
        <v>31</v>
      </c>
      <c r="B45">
        <f>COUNTIFS($J$4:$J$18,"&gt;=1.02",$J$4:$J$18,"&lt;1.05")</f>
        <v>2</v>
      </c>
      <c r="D45" t="s">
        <v>36</v>
      </c>
      <c r="E45">
        <f>COUNTIFS($J$23:$J$37,"&gt;=2.07", $J$23:$J$37, "&lt;=2.19")</f>
        <v>4</v>
      </c>
      <c r="L45" t="s">
        <v>31</v>
      </c>
      <c r="M45">
        <f>COUNTIFS(U$4:$U$18,"&gt;=1.02",U$4:$U$18,"&lt;1.05")</f>
        <v>2</v>
      </c>
      <c r="O45" t="s">
        <v>48</v>
      </c>
      <c r="P45">
        <f>COUNTIFS($U$23:$U$37,"&gt;=1.68", $U$23:$U$37, "&lt;=1.98")</f>
        <v>3</v>
      </c>
      <c r="T45" s="5"/>
      <c r="W45" t="s">
        <v>31</v>
      </c>
      <c r="X45">
        <f>COUNTIFS($AJ$4:$AJ$18,"&gt;=1.02",$AJ$4:$AJ$18,"&lt;1.05")</f>
        <v>1</v>
      </c>
      <c r="Z45" t="s">
        <v>56</v>
      </c>
      <c r="AA45">
        <f>COUNTIFS($AJ$23:$AJ$37,"&gt;=2", $AJ$23:$AJ$37, "&lt;=2.12")</f>
        <v>0</v>
      </c>
      <c r="AE45" s="5"/>
      <c r="AL45" t="s">
        <v>31</v>
      </c>
      <c r="AM45">
        <f>COUNTIFS($AS$4:$AS$18,"&gt;=1.02",$AS$4:$AS$18,"&lt;1.05")</f>
        <v>3</v>
      </c>
      <c r="AO45" t="s">
        <v>63</v>
      </c>
      <c r="AP45">
        <f>COUNTIFS($AS$23:$AS$37,"&gt;=0.94", $AS$23:$AS$37, "&lt;=1.19")</f>
        <v>0</v>
      </c>
      <c r="AR45" s="5"/>
    </row>
    <row r="46" spans="1:46" x14ac:dyDescent="0.25">
      <c r="A46" t="s">
        <v>32</v>
      </c>
      <c r="B46">
        <f>COUNTIFS($J$4:$J$18,"&gt;=0.88",$J$4:$J$18,"&lt;0.85")</f>
        <v>0</v>
      </c>
      <c r="D46" t="s">
        <v>35</v>
      </c>
      <c r="E46">
        <f>COUNTIFS($J$23:$J$37,"&gt;=1.95", $J$23:$J$37, "&lt;=2.07")</f>
        <v>2</v>
      </c>
      <c r="L46" t="s">
        <v>32</v>
      </c>
      <c r="M46">
        <f>COUNTIFS(U$4:$U$18,"&gt;=0.88",U$4:$U$18,"&lt;0.85")</f>
        <v>0</v>
      </c>
      <c r="O46" t="s">
        <v>49</v>
      </c>
      <c r="P46">
        <f>COUNTIFS($U$23:$U$37,"&gt;=1.38", $U$23:$U$37, "&lt;=1.68")</f>
        <v>2</v>
      </c>
      <c r="T46" s="5"/>
      <c r="W46" t="s">
        <v>32</v>
      </c>
      <c r="X46">
        <f>COUNTIFS($AJ$4:$AJ$18,"&gt;=0.88",$AJ$4:$AJ$18,"&lt;0.85")</f>
        <v>0</v>
      </c>
      <c r="Z46" t="s">
        <v>57</v>
      </c>
      <c r="AA46">
        <f>COUNTIFS($AJ$23:$AJ$37,"&gt;=1.87", $AJ$23:$AJ$37, "&lt;=2")</f>
        <v>2</v>
      </c>
      <c r="AE46" s="5"/>
      <c r="AL46" t="s">
        <v>32</v>
      </c>
      <c r="AM46">
        <f>COUNTIFS($AS$4:$AS$18,"&gt;=0.88",$AS$4:$AS$18,"&lt;0.85")</f>
        <v>0</v>
      </c>
      <c r="AO46" t="s">
        <v>64</v>
      </c>
      <c r="AP46">
        <f>COUNTIFS($AS$23:$AS$37,"&gt;=0.7", $AS$23:$AS$37, "&lt;=0.94")</f>
        <v>0</v>
      </c>
      <c r="AR46" s="5"/>
    </row>
    <row r="47" spans="1:46" x14ac:dyDescent="0.25">
      <c r="B47">
        <f>SUM(B40:B46)</f>
        <v>15</v>
      </c>
      <c r="E47">
        <f>SUM(E40:E46)</f>
        <v>15</v>
      </c>
      <c r="M47">
        <f>SUM(M40:M46)</f>
        <v>15</v>
      </c>
      <c r="P47">
        <f>SUM(P40:P46)</f>
        <v>15</v>
      </c>
      <c r="T47" s="5"/>
      <c r="X47">
        <f>SUM(X40:X46)</f>
        <v>15</v>
      </c>
      <c r="AA47">
        <f>SUM(AA40:AA46)</f>
        <v>15</v>
      </c>
      <c r="AE47" s="5"/>
      <c r="AM47">
        <f>SUM(AM40:AM46)</f>
        <v>15</v>
      </c>
      <c r="AP47">
        <f>SUM(AP40:AP46)</f>
        <v>15</v>
      </c>
      <c r="AR47" s="5"/>
    </row>
    <row r="48" spans="1:46" x14ac:dyDescent="0.25">
      <c r="T48" s="5"/>
      <c r="AE48" s="5"/>
      <c r="AR48" s="5"/>
    </row>
    <row r="49" spans="20:44" x14ac:dyDescent="0.25">
      <c r="T49" s="5"/>
      <c r="AE49" s="5"/>
      <c r="AR49" s="5"/>
    </row>
    <row r="50" spans="20:44" x14ac:dyDescent="0.25">
      <c r="T50" s="5"/>
      <c r="AR50" s="5"/>
    </row>
    <row r="51" spans="20:44" x14ac:dyDescent="0.25">
      <c r="T51" s="5"/>
      <c r="AR51" s="5"/>
    </row>
    <row r="52" spans="20:44" x14ac:dyDescent="0.25">
      <c r="T52" s="5"/>
    </row>
  </sheetData>
  <mergeCells count="10">
    <mergeCell ref="A20:AS20"/>
    <mergeCell ref="A21:K21"/>
    <mergeCell ref="L21:U21"/>
    <mergeCell ref="W21:AJ21"/>
    <mergeCell ref="AL21:AS21"/>
    <mergeCell ref="A2:K2"/>
    <mergeCell ref="L2:U2"/>
    <mergeCell ref="W2:AJ2"/>
    <mergeCell ref="AL2:AS2"/>
    <mergeCell ref="A1:AS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A1D03-D159-474A-BD1D-6023DB952C66}">
  <dimension ref="A1:AG50"/>
  <sheetViews>
    <sheetView tabSelected="1" topLeftCell="A4" workbookViewId="0">
      <selection activeCell="R42" sqref="R42"/>
    </sheetView>
  </sheetViews>
  <sheetFormatPr defaultRowHeight="15" x14ac:dyDescent="0.25"/>
  <cols>
    <col min="1" max="1" width="8.28515625" bestFit="1" customWidth="1"/>
    <col min="2" max="2" width="12" bestFit="1" customWidth="1"/>
    <col min="3" max="3" width="12" customWidth="1"/>
    <col min="4" max="4" width="12" bestFit="1" customWidth="1"/>
    <col min="5" max="5" width="12" customWidth="1"/>
  </cols>
  <sheetData>
    <row r="1" spans="1:30" x14ac:dyDescent="0.25">
      <c r="A1" s="44" t="s">
        <v>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</row>
    <row r="2" spans="1:30" x14ac:dyDescent="0.25">
      <c r="A2" s="41" t="s">
        <v>4</v>
      </c>
      <c r="B2" s="41"/>
      <c r="C2" s="41"/>
      <c r="D2" s="41"/>
      <c r="E2" s="41"/>
      <c r="F2" s="41"/>
      <c r="G2" s="41"/>
      <c r="H2" s="41" t="s">
        <v>5</v>
      </c>
      <c r="I2" s="41"/>
      <c r="J2" s="41"/>
      <c r="K2" s="41"/>
      <c r="L2" s="41"/>
      <c r="M2" s="41"/>
      <c r="N2" s="41"/>
      <c r="O2" s="41" t="s">
        <v>6</v>
      </c>
      <c r="P2" s="41"/>
      <c r="Q2" s="41"/>
      <c r="R2" s="41"/>
      <c r="S2" s="41"/>
      <c r="T2" s="41"/>
      <c r="U2" s="41"/>
      <c r="V2" s="41"/>
      <c r="W2" s="41"/>
      <c r="X2" s="41"/>
      <c r="Y2" s="41"/>
      <c r="Z2" s="41" t="s">
        <v>7</v>
      </c>
      <c r="AA2" s="41"/>
      <c r="AB2" s="41"/>
      <c r="AC2" s="41"/>
      <c r="AD2" s="41"/>
    </row>
    <row r="3" spans="1:30" x14ac:dyDescent="0.25">
      <c r="A3" s="1" t="s">
        <v>19</v>
      </c>
      <c r="B3" s="1" t="s">
        <v>10</v>
      </c>
      <c r="D3" s="1" t="s">
        <v>15</v>
      </c>
      <c r="F3" s="1"/>
      <c r="H3" s="1" t="s">
        <v>19</v>
      </c>
      <c r="I3" s="1" t="s">
        <v>10</v>
      </c>
      <c r="K3" s="1" t="s">
        <v>15</v>
      </c>
      <c r="M3" s="1" t="s">
        <v>11</v>
      </c>
      <c r="N3" s="1" t="s">
        <v>16</v>
      </c>
      <c r="O3" s="1" t="s">
        <v>19</v>
      </c>
      <c r="P3" s="1" t="s">
        <v>10</v>
      </c>
      <c r="R3" s="1" t="s">
        <v>15</v>
      </c>
      <c r="T3" s="1" t="s">
        <v>11</v>
      </c>
      <c r="V3" s="1" t="s">
        <v>16</v>
      </c>
      <c r="X3" s="1" t="s">
        <v>12</v>
      </c>
      <c r="Y3" s="1" t="s">
        <v>17</v>
      </c>
      <c r="Z3" s="1" t="s">
        <v>19</v>
      </c>
      <c r="AA3" s="1" t="s">
        <v>10</v>
      </c>
      <c r="AB3" s="1" t="s">
        <v>15</v>
      </c>
      <c r="AC3" s="1" t="s">
        <v>11</v>
      </c>
      <c r="AD3" s="1" t="s">
        <v>16</v>
      </c>
    </row>
    <row r="4" spans="1:30" x14ac:dyDescent="0.25">
      <c r="A4" s="19">
        <v>61</v>
      </c>
      <c r="B4" s="20"/>
      <c r="D4" s="21"/>
      <c r="F4" s="21"/>
      <c r="H4" s="19">
        <v>46</v>
      </c>
      <c r="I4" s="20"/>
      <c r="K4" s="21"/>
      <c r="M4" s="21"/>
      <c r="N4" s="21"/>
      <c r="O4" s="19">
        <v>31</v>
      </c>
      <c r="P4" s="20">
        <v>80</v>
      </c>
      <c r="R4" s="21">
        <f t="shared" ref="R4:R16" si="0">P4*0.01</f>
        <v>0.8</v>
      </c>
      <c r="T4" s="21"/>
      <c r="V4" s="21"/>
      <c r="X4" s="21"/>
      <c r="Y4" s="21"/>
      <c r="Z4" s="19">
        <v>16</v>
      </c>
      <c r="AA4" s="21">
        <v>88</v>
      </c>
      <c r="AB4" s="21">
        <f>AA4*0.01</f>
        <v>0.88</v>
      </c>
      <c r="AC4" s="21"/>
      <c r="AD4" s="21"/>
    </row>
    <row r="5" spans="1:30" x14ac:dyDescent="0.25">
      <c r="A5" s="19">
        <v>60</v>
      </c>
      <c r="B5" s="20"/>
      <c r="D5" s="21"/>
      <c r="F5" s="21"/>
      <c r="H5" s="19">
        <v>45</v>
      </c>
      <c r="I5" s="20"/>
      <c r="K5" s="21"/>
      <c r="M5" s="21"/>
      <c r="N5" s="21"/>
      <c r="O5" s="19">
        <v>30</v>
      </c>
      <c r="P5" s="21">
        <v>99</v>
      </c>
      <c r="R5" s="21">
        <f t="shared" si="0"/>
        <v>0.99</v>
      </c>
      <c r="T5" s="21"/>
      <c r="V5" s="21"/>
      <c r="X5" s="21"/>
      <c r="Y5" s="21"/>
      <c r="Z5" s="19">
        <v>15</v>
      </c>
      <c r="AA5" s="21"/>
      <c r="AB5" s="21"/>
      <c r="AC5" s="21"/>
      <c r="AD5" s="21"/>
    </row>
    <row r="6" spans="1:30" x14ac:dyDescent="0.25">
      <c r="A6" s="19">
        <v>59</v>
      </c>
      <c r="B6" s="20">
        <v>70</v>
      </c>
      <c r="D6" s="21">
        <f t="shared" ref="D6:D14" si="1">B6*0.01</f>
        <v>0.70000000000000007</v>
      </c>
      <c r="F6" s="21"/>
      <c r="H6" s="19">
        <v>44</v>
      </c>
      <c r="I6" s="20"/>
      <c r="K6" s="21"/>
      <c r="M6" s="21"/>
      <c r="N6" s="21"/>
      <c r="O6" s="19">
        <v>29</v>
      </c>
      <c r="P6" s="21"/>
      <c r="R6" s="21"/>
      <c r="T6" s="21"/>
      <c r="V6" s="21"/>
      <c r="X6" s="21"/>
      <c r="Y6" s="21"/>
      <c r="Z6" s="19">
        <v>14</v>
      </c>
      <c r="AA6" s="21">
        <v>95</v>
      </c>
      <c r="AB6" s="21">
        <f t="shared" ref="AB6:AB18" si="2">AA6*0.01</f>
        <v>0.95000000000000007</v>
      </c>
      <c r="AC6" s="21"/>
      <c r="AD6" s="21"/>
    </row>
    <row r="7" spans="1:30" x14ac:dyDescent="0.25">
      <c r="A7" s="19">
        <v>58</v>
      </c>
      <c r="B7" s="20">
        <v>98</v>
      </c>
      <c r="D7" s="21">
        <f t="shared" si="1"/>
        <v>0.98</v>
      </c>
      <c r="F7" s="21"/>
      <c r="H7" s="19">
        <v>43</v>
      </c>
      <c r="I7" s="20"/>
      <c r="K7" s="21"/>
      <c r="M7" s="21"/>
      <c r="N7" s="21"/>
      <c r="O7" s="19">
        <v>28</v>
      </c>
      <c r="P7" s="21"/>
      <c r="R7" s="21"/>
      <c r="T7" s="21"/>
      <c r="V7" s="21"/>
      <c r="X7" s="21"/>
      <c r="Y7" s="21"/>
      <c r="Z7" s="19">
        <v>12</v>
      </c>
      <c r="AA7" s="21">
        <v>93.5</v>
      </c>
      <c r="AB7" s="21">
        <f t="shared" si="2"/>
        <v>0.93500000000000005</v>
      </c>
      <c r="AC7" s="21"/>
      <c r="AD7" s="21"/>
    </row>
    <row r="8" spans="1:30" x14ac:dyDescent="0.25">
      <c r="A8" s="19">
        <v>57</v>
      </c>
      <c r="B8" s="20"/>
      <c r="D8" s="21"/>
      <c r="F8" s="21"/>
      <c r="H8" s="19">
        <v>42</v>
      </c>
      <c r="I8" s="20"/>
      <c r="K8" s="21"/>
      <c r="M8" s="21"/>
      <c r="N8" s="21"/>
      <c r="O8" s="19">
        <v>27</v>
      </c>
      <c r="P8" s="21"/>
      <c r="R8" s="21"/>
      <c r="T8" s="21"/>
      <c r="V8" s="21"/>
      <c r="X8" s="21"/>
      <c r="Y8" s="21"/>
      <c r="Z8" s="19">
        <v>11</v>
      </c>
      <c r="AA8" s="21">
        <v>99</v>
      </c>
      <c r="AB8" s="21">
        <f t="shared" si="2"/>
        <v>0.99</v>
      </c>
      <c r="AC8" s="21"/>
      <c r="AD8" s="21"/>
    </row>
    <row r="9" spans="1:30" x14ac:dyDescent="0.25">
      <c r="A9" s="19">
        <v>56</v>
      </c>
      <c r="B9" s="20">
        <v>100</v>
      </c>
      <c r="D9" s="21">
        <f t="shared" si="1"/>
        <v>1</v>
      </c>
      <c r="F9" s="21"/>
      <c r="H9" s="19">
        <v>41</v>
      </c>
      <c r="I9" s="20">
        <v>103.5</v>
      </c>
      <c r="K9" s="21">
        <f t="shared" ref="K9:K17" si="3">I9*0.01</f>
        <v>1.0349999999999999</v>
      </c>
      <c r="M9" s="21"/>
      <c r="N9" s="21"/>
      <c r="O9" s="19">
        <v>26</v>
      </c>
      <c r="P9" s="21"/>
      <c r="R9" s="21"/>
      <c r="T9" s="21"/>
      <c r="V9" s="21"/>
      <c r="X9" s="21"/>
      <c r="Y9" s="21"/>
      <c r="Z9" s="19">
        <v>10</v>
      </c>
      <c r="AA9" s="21">
        <v>92</v>
      </c>
      <c r="AB9" s="21">
        <f t="shared" si="2"/>
        <v>0.92</v>
      </c>
      <c r="AC9" s="21"/>
      <c r="AD9" s="21"/>
    </row>
    <row r="10" spans="1:30" x14ac:dyDescent="0.25">
      <c r="A10" s="19">
        <v>55</v>
      </c>
      <c r="B10" s="20"/>
      <c r="D10" s="21"/>
      <c r="F10" s="21"/>
      <c r="H10" s="19">
        <v>40</v>
      </c>
      <c r="I10" s="20"/>
      <c r="K10" s="21"/>
      <c r="M10" s="21"/>
      <c r="N10" s="21"/>
      <c r="O10" s="19">
        <v>25</v>
      </c>
      <c r="P10" s="21">
        <v>94</v>
      </c>
      <c r="R10" s="21">
        <f t="shared" si="0"/>
        <v>0.94000000000000006</v>
      </c>
      <c r="T10" s="21">
        <v>100</v>
      </c>
      <c r="U10" s="21">
        <f>T10*0.01</f>
        <v>1</v>
      </c>
      <c r="W10" s="21"/>
      <c r="X10" s="21"/>
      <c r="Y10" s="21"/>
      <c r="Z10" s="19">
        <v>9</v>
      </c>
      <c r="AA10" s="21"/>
      <c r="AB10" s="21"/>
      <c r="AC10" s="21"/>
      <c r="AD10" s="21"/>
    </row>
    <row r="11" spans="1:30" x14ac:dyDescent="0.25">
      <c r="A11" s="19">
        <v>54</v>
      </c>
      <c r="B11" s="20">
        <v>98</v>
      </c>
      <c r="D11" s="21">
        <f t="shared" si="1"/>
        <v>0.98</v>
      </c>
      <c r="F11" s="21"/>
      <c r="H11" s="19">
        <v>39</v>
      </c>
      <c r="I11" s="20">
        <v>92</v>
      </c>
      <c r="K11" s="21">
        <f t="shared" si="3"/>
        <v>0.92</v>
      </c>
      <c r="M11" s="21"/>
      <c r="N11" s="21"/>
      <c r="O11" s="19">
        <v>24</v>
      </c>
      <c r="P11" s="21">
        <v>95</v>
      </c>
      <c r="R11" s="21">
        <f t="shared" si="0"/>
        <v>0.95000000000000007</v>
      </c>
      <c r="T11" s="21"/>
      <c r="V11" s="21"/>
      <c r="X11" s="21"/>
      <c r="Y11" s="21"/>
      <c r="Z11" s="19">
        <v>8</v>
      </c>
      <c r="AA11" s="21">
        <v>89</v>
      </c>
      <c r="AB11" s="21">
        <f t="shared" si="2"/>
        <v>0.89</v>
      </c>
      <c r="AC11" s="21"/>
      <c r="AD11" s="21"/>
    </row>
    <row r="12" spans="1:30" x14ac:dyDescent="0.25">
      <c r="A12" s="19">
        <v>53</v>
      </c>
      <c r="B12" s="20"/>
      <c r="D12" s="21"/>
      <c r="F12" s="21"/>
      <c r="H12" s="19">
        <v>38</v>
      </c>
      <c r="I12" s="20"/>
      <c r="K12" s="21"/>
      <c r="M12" s="21"/>
      <c r="N12" s="21"/>
      <c r="O12" s="19">
        <v>23</v>
      </c>
      <c r="P12" s="21">
        <v>99</v>
      </c>
      <c r="R12" s="21">
        <f t="shared" si="0"/>
        <v>0.99</v>
      </c>
      <c r="T12" s="21"/>
      <c r="V12" s="21"/>
      <c r="X12" s="21"/>
      <c r="Y12" s="21"/>
      <c r="Z12" s="19">
        <v>7</v>
      </c>
      <c r="AA12" s="21">
        <v>70</v>
      </c>
      <c r="AB12" s="21">
        <f t="shared" si="2"/>
        <v>0.70000000000000007</v>
      </c>
      <c r="AC12" s="21"/>
      <c r="AD12" s="21"/>
    </row>
    <row r="13" spans="1:30" x14ac:dyDescent="0.25">
      <c r="A13" s="19">
        <v>52</v>
      </c>
      <c r="B13" s="20">
        <v>97</v>
      </c>
      <c r="D13" s="21">
        <f t="shared" si="1"/>
        <v>0.97</v>
      </c>
      <c r="F13" s="21"/>
      <c r="H13" s="19">
        <v>37</v>
      </c>
      <c r="I13" s="20"/>
      <c r="K13" s="21"/>
      <c r="M13" s="21"/>
      <c r="N13" s="21"/>
      <c r="O13" s="19">
        <v>22</v>
      </c>
      <c r="P13" s="21"/>
      <c r="R13" s="21"/>
      <c r="T13" s="21"/>
      <c r="X13" s="21"/>
      <c r="Y13" s="21"/>
      <c r="Z13" s="19">
        <v>6</v>
      </c>
      <c r="AA13" s="21">
        <v>99</v>
      </c>
      <c r="AB13" s="21">
        <f t="shared" si="2"/>
        <v>0.99</v>
      </c>
      <c r="AC13" s="21"/>
      <c r="AD13" s="21"/>
    </row>
    <row r="14" spans="1:30" x14ac:dyDescent="0.25">
      <c r="A14" s="19">
        <v>51</v>
      </c>
      <c r="B14" s="20">
        <v>100</v>
      </c>
      <c r="D14" s="21">
        <f t="shared" si="1"/>
        <v>1</v>
      </c>
      <c r="F14" s="21"/>
      <c r="H14" s="19">
        <v>36</v>
      </c>
      <c r="I14" s="20"/>
      <c r="K14" s="21"/>
      <c r="M14" s="21"/>
      <c r="N14" s="21"/>
      <c r="O14" s="19">
        <v>21</v>
      </c>
      <c r="P14" s="21">
        <v>98.5</v>
      </c>
      <c r="R14" s="21">
        <f>P14*0.01</f>
        <v>0.98499999999999999</v>
      </c>
      <c r="T14" s="21">
        <v>97.5</v>
      </c>
      <c r="U14" s="21">
        <f>T14*0.01</f>
        <v>0.97499999999999998</v>
      </c>
      <c r="V14" s="21">
        <v>95</v>
      </c>
      <c r="W14" s="21">
        <f>V14*0.01</f>
        <v>0.95000000000000007</v>
      </c>
      <c r="X14" s="21"/>
      <c r="Y14" s="21"/>
      <c r="Z14" s="19">
        <v>5</v>
      </c>
      <c r="AA14" s="21">
        <v>66</v>
      </c>
      <c r="AB14" s="21">
        <f t="shared" si="2"/>
        <v>0.66</v>
      </c>
      <c r="AC14" s="21"/>
      <c r="AD14" s="21"/>
    </row>
    <row r="15" spans="1:30" x14ac:dyDescent="0.25">
      <c r="A15" s="19">
        <v>50</v>
      </c>
      <c r="B15" s="20"/>
      <c r="D15" s="21"/>
      <c r="F15" s="21"/>
      <c r="H15" s="19">
        <v>35</v>
      </c>
      <c r="I15" s="20"/>
      <c r="K15" s="21"/>
      <c r="M15" s="21"/>
      <c r="N15" s="21"/>
      <c r="O15" s="19">
        <v>20</v>
      </c>
      <c r="P15" s="21">
        <v>95</v>
      </c>
      <c r="R15" s="21">
        <f t="shared" si="0"/>
        <v>0.95000000000000007</v>
      </c>
      <c r="T15" s="21"/>
      <c r="V15" s="21"/>
      <c r="X15" s="21"/>
      <c r="Y15" s="21"/>
      <c r="Z15" s="19">
        <v>4</v>
      </c>
      <c r="AA15" s="21">
        <v>90</v>
      </c>
      <c r="AB15" s="21">
        <f t="shared" si="2"/>
        <v>0.9</v>
      </c>
      <c r="AC15" s="21"/>
      <c r="AD15" s="21"/>
    </row>
    <row r="16" spans="1:30" x14ac:dyDescent="0.25">
      <c r="A16" s="19">
        <v>49</v>
      </c>
      <c r="B16" s="20"/>
      <c r="D16" s="21"/>
      <c r="F16" s="21"/>
      <c r="H16" s="19">
        <v>34</v>
      </c>
      <c r="I16" s="20">
        <v>85</v>
      </c>
      <c r="K16" s="21">
        <f t="shared" si="3"/>
        <v>0.85</v>
      </c>
      <c r="M16" s="21"/>
      <c r="N16" s="21"/>
      <c r="O16" s="19">
        <v>19</v>
      </c>
      <c r="P16" s="21">
        <v>94.8</v>
      </c>
      <c r="R16" s="21">
        <f t="shared" si="0"/>
        <v>0.94799999999999995</v>
      </c>
      <c r="T16" s="21"/>
      <c r="V16" s="21"/>
      <c r="X16" s="21"/>
      <c r="Y16" s="21"/>
      <c r="Z16" s="19">
        <v>3</v>
      </c>
      <c r="AA16" s="21"/>
      <c r="AB16" s="21"/>
      <c r="AC16" s="21"/>
      <c r="AD16" s="21"/>
    </row>
    <row r="17" spans="1:30" x14ac:dyDescent="0.25">
      <c r="A17" s="19">
        <v>48</v>
      </c>
      <c r="B17" s="20"/>
      <c r="D17" s="21"/>
      <c r="F17" s="21"/>
      <c r="H17" s="19">
        <v>33</v>
      </c>
      <c r="I17" s="20">
        <v>98.5</v>
      </c>
      <c r="K17" s="21">
        <f t="shared" si="3"/>
        <v>0.98499999999999999</v>
      </c>
      <c r="M17" s="21">
        <v>100.5</v>
      </c>
      <c r="N17" s="21">
        <f>M17*0.01</f>
        <v>1.0050000000000001</v>
      </c>
      <c r="O17" s="19">
        <v>18</v>
      </c>
      <c r="P17" s="21"/>
      <c r="R17" s="21"/>
      <c r="T17" s="21"/>
      <c r="U17" s="21"/>
      <c r="V17" s="21"/>
      <c r="W17" s="21"/>
      <c r="X17" s="21"/>
      <c r="Y17" s="21"/>
      <c r="Z17" s="19">
        <v>2</v>
      </c>
      <c r="AA17" s="21">
        <v>95</v>
      </c>
      <c r="AB17" s="21">
        <f t="shared" si="2"/>
        <v>0.95000000000000007</v>
      </c>
      <c r="AC17" s="21">
        <v>102</v>
      </c>
      <c r="AD17" s="21">
        <f t="shared" ref="AD17:AD18" si="4">AC17*0.01</f>
        <v>1.02</v>
      </c>
    </row>
    <row r="18" spans="1:30" x14ac:dyDescent="0.25">
      <c r="A18" s="19">
        <v>47</v>
      </c>
      <c r="B18" s="20"/>
      <c r="D18" s="21"/>
      <c r="F18" s="21"/>
      <c r="H18" s="24">
        <v>32</v>
      </c>
      <c r="I18" s="20"/>
      <c r="K18" s="21"/>
      <c r="L18" s="21"/>
      <c r="M18" s="21"/>
      <c r="N18" s="21"/>
      <c r="O18" s="24">
        <v>17</v>
      </c>
      <c r="P18" s="21"/>
      <c r="R18" s="21"/>
      <c r="T18" s="21"/>
      <c r="U18" s="21"/>
      <c r="V18" s="21"/>
      <c r="W18" s="21"/>
      <c r="X18" s="21"/>
      <c r="Y18" s="21"/>
      <c r="Z18" s="24">
        <v>1</v>
      </c>
      <c r="AA18" s="21">
        <v>93</v>
      </c>
      <c r="AB18" s="21">
        <f t="shared" si="2"/>
        <v>0.93</v>
      </c>
      <c r="AC18" s="21">
        <v>94</v>
      </c>
      <c r="AD18" s="21">
        <f t="shared" si="4"/>
        <v>0.94000000000000006</v>
      </c>
    </row>
    <row r="19" spans="1:30" x14ac:dyDescent="0.25">
      <c r="A19" s="19"/>
      <c r="B19" s="5"/>
      <c r="D19" s="5"/>
      <c r="F19" s="5"/>
    </row>
    <row r="20" spans="1:30" x14ac:dyDescent="0.25">
      <c r="A20" s="44" t="s">
        <v>21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</row>
    <row r="21" spans="1:30" x14ac:dyDescent="0.25">
      <c r="A21" s="41" t="s">
        <v>4</v>
      </c>
      <c r="B21" s="41"/>
      <c r="C21" s="41"/>
      <c r="D21" s="41"/>
      <c r="E21" s="41"/>
      <c r="F21" s="41"/>
      <c r="G21" s="41"/>
      <c r="H21" s="41" t="s">
        <v>5</v>
      </c>
      <c r="I21" s="41"/>
      <c r="J21" s="41"/>
      <c r="K21" s="41"/>
      <c r="L21" s="41"/>
      <c r="M21" s="41"/>
      <c r="N21" s="41"/>
      <c r="O21" s="41" t="s">
        <v>6</v>
      </c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 t="s">
        <v>7</v>
      </c>
      <c r="AA21" s="41"/>
      <c r="AB21" s="41"/>
      <c r="AC21" s="41"/>
      <c r="AD21" s="41"/>
    </row>
    <row r="22" spans="1:30" x14ac:dyDescent="0.25">
      <c r="A22" s="1" t="s">
        <v>19</v>
      </c>
      <c r="B22" s="1" t="s">
        <v>10</v>
      </c>
      <c r="C22" s="1" t="s">
        <v>15</v>
      </c>
      <c r="D22" s="1" t="s">
        <v>11</v>
      </c>
      <c r="E22" s="1" t="s">
        <v>16</v>
      </c>
      <c r="F22" s="1" t="s">
        <v>12</v>
      </c>
      <c r="G22" s="1" t="s">
        <v>17</v>
      </c>
      <c r="H22" s="1" t="s">
        <v>19</v>
      </c>
      <c r="I22" s="1" t="s">
        <v>10</v>
      </c>
      <c r="J22" s="1" t="s">
        <v>15</v>
      </c>
      <c r="K22" s="1" t="s">
        <v>11</v>
      </c>
      <c r="L22" s="1" t="s">
        <v>16</v>
      </c>
      <c r="M22" s="1" t="s">
        <v>12</v>
      </c>
      <c r="N22" s="1" t="s">
        <v>17</v>
      </c>
      <c r="O22" s="1" t="s">
        <v>19</v>
      </c>
      <c r="P22" s="1" t="s">
        <v>10</v>
      </c>
      <c r="Q22" s="1" t="s">
        <v>15</v>
      </c>
      <c r="R22" s="1" t="s">
        <v>11</v>
      </c>
      <c r="S22" s="1" t="s">
        <v>16</v>
      </c>
      <c r="T22" s="1" t="s">
        <v>12</v>
      </c>
      <c r="U22" s="1" t="s">
        <v>17</v>
      </c>
      <c r="V22" s="1" t="s">
        <v>13</v>
      </c>
      <c r="W22" s="1" t="s">
        <v>18</v>
      </c>
      <c r="X22" s="1" t="s">
        <v>22</v>
      </c>
      <c r="Y22" s="1" t="s">
        <v>23</v>
      </c>
      <c r="Z22" s="1" t="s">
        <v>19</v>
      </c>
      <c r="AA22" s="1" t="s">
        <v>10</v>
      </c>
      <c r="AB22" s="1" t="s">
        <v>15</v>
      </c>
      <c r="AC22" s="1" t="s">
        <v>11</v>
      </c>
      <c r="AD22" s="1" t="s">
        <v>16</v>
      </c>
    </row>
    <row r="23" spans="1:30" x14ac:dyDescent="0.25">
      <c r="A23" s="19">
        <v>61</v>
      </c>
      <c r="B23" s="26">
        <v>160</v>
      </c>
      <c r="C23" s="21">
        <f>B23*0.01</f>
        <v>1.6</v>
      </c>
      <c r="D23">
        <v>188</v>
      </c>
      <c r="E23" s="21">
        <f>D23*0.01</f>
        <v>1.8800000000000001</v>
      </c>
      <c r="F23">
        <v>168</v>
      </c>
      <c r="G23" s="21">
        <f>F23*0.01</f>
        <v>1.68</v>
      </c>
      <c r="H23" s="19">
        <v>46</v>
      </c>
      <c r="I23">
        <v>115</v>
      </c>
      <c r="J23" s="21">
        <f t="shared" ref="J23" si="5">I23*0.01</f>
        <v>1.1500000000000001</v>
      </c>
      <c r="L23" s="21"/>
      <c r="N23" s="21"/>
      <c r="O23" s="19">
        <v>31</v>
      </c>
      <c r="P23" s="26"/>
      <c r="Q23" s="21"/>
      <c r="S23" s="21"/>
      <c r="U23" s="21"/>
      <c r="W23" s="21"/>
      <c r="Y23" s="21"/>
      <c r="Z23" s="19">
        <v>16</v>
      </c>
      <c r="AA23">
        <v>59</v>
      </c>
      <c r="AB23" s="21">
        <f>AA23*0.01</f>
        <v>0.59</v>
      </c>
      <c r="AC23">
        <v>76</v>
      </c>
      <c r="AD23" s="21">
        <f t="shared" ref="AD23:AD24" si="6">AC23*0.01</f>
        <v>0.76</v>
      </c>
    </row>
    <row r="24" spans="1:30" x14ac:dyDescent="0.25">
      <c r="A24" s="19">
        <v>60</v>
      </c>
      <c r="B24" s="26"/>
      <c r="C24" s="21"/>
      <c r="D24">
        <v>200</v>
      </c>
      <c r="E24" s="21">
        <f>D24*0.01</f>
        <v>2</v>
      </c>
      <c r="F24">
        <v>220</v>
      </c>
      <c r="G24" s="21">
        <f>F24*0.01</f>
        <v>2.2000000000000002</v>
      </c>
      <c r="H24" s="19">
        <v>45</v>
      </c>
      <c r="I24" s="26"/>
      <c r="J24" s="21"/>
      <c r="L24" s="21"/>
      <c r="N24" s="21"/>
      <c r="O24" s="19">
        <v>30</v>
      </c>
      <c r="P24" s="26">
        <v>170</v>
      </c>
      <c r="Q24" s="21">
        <f t="shared" ref="Q24:Q36" si="7">P24*0.01</f>
        <v>1.7</v>
      </c>
      <c r="S24" s="21"/>
      <c r="U24" s="21"/>
      <c r="W24" s="21"/>
      <c r="Y24" s="21"/>
      <c r="Z24" s="19">
        <v>15</v>
      </c>
      <c r="AA24">
        <v>58</v>
      </c>
      <c r="AB24" s="21">
        <f>AA24*0.01</f>
        <v>0.57999999999999996</v>
      </c>
      <c r="AC24">
        <v>69</v>
      </c>
      <c r="AD24" s="21">
        <f t="shared" si="6"/>
        <v>0.69000000000000006</v>
      </c>
    </row>
    <row r="25" spans="1:30" x14ac:dyDescent="0.25">
      <c r="A25" s="19">
        <v>59</v>
      </c>
      <c r="B25" s="26">
        <v>206</v>
      </c>
      <c r="C25" s="21">
        <f t="shared" ref="C25:C36" si="8">B25*0.01</f>
        <v>2.06</v>
      </c>
      <c r="E25" s="21"/>
      <c r="G25" s="21"/>
      <c r="H25" s="19">
        <v>44</v>
      </c>
      <c r="I25" s="26"/>
      <c r="J25" s="21"/>
      <c r="L25" s="21"/>
      <c r="N25" s="21"/>
      <c r="O25" s="19">
        <v>29</v>
      </c>
      <c r="P25" s="26">
        <v>140</v>
      </c>
      <c r="Q25" s="21">
        <f t="shared" si="7"/>
        <v>1.4000000000000001</v>
      </c>
      <c r="R25">
        <v>139</v>
      </c>
      <c r="S25" s="21">
        <f t="shared" ref="S25" si="9">R25*0.01</f>
        <v>1.3900000000000001</v>
      </c>
      <c r="U25" s="21"/>
      <c r="W25" s="21"/>
      <c r="Y25" s="21"/>
      <c r="Z25" s="19">
        <v>14</v>
      </c>
      <c r="AA25">
        <v>230</v>
      </c>
      <c r="AB25" s="21">
        <f t="shared" ref="AB25:AB37" si="10">AA25*0.01</f>
        <v>2.3000000000000003</v>
      </c>
      <c r="AD25" s="21"/>
    </row>
    <row r="26" spans="1:30" x14ac:dyDescent="0.25">
      <c r="A26" s="19">
        <v>58</v>
      </c>
      <c r="B26" s="26">
        <v>208</v>
      </c>
      <c r="C26" s="21">
        <f t="shared" si="8"/>
        <v>2.08</v>
      </c>
      <c r="E26" s="21"/>
      <c r="G26" s="21"/>
      <c r="H26" s="19">
        <v>43</v>
      </c>
      <c r="I26" s="26">
        <v>128</v>
      </c>
      <c r="J26" s="21">
        <f t="shared" ref="J26:J37" si="11">I26*0.01</f>
        <v>1.28</v>
      </c>
      <c r="L26" s="21"/>
      <c r="N26" s="21"/>
      <c r="O26" s="19">
        <v>28</v>
      </c>
      <c r="P26" s="26"/>
      <c r="Q26" s="21"/>
      <c r="S26" s="21"/>
      <c r="U26" s="21"/>
      <c r="W26" s="21"/>
      <c r="Y26" s="21"/>
      <c r="Z26" s="19">
        <v>12</v>
      </c>
      <c r="AA26">
        <v>205</v>
      </c>
      <c r="AB26" s="21">
        <f t="shared" si="10"/>
        <v>2.0499999999999998</v>
      </c>
      <c r="AD26" s="21"/>
    </row>
    <row r="27" spans="1:30" x14ac:dyDescent="0.25">
      <c r="A27" s="19">
        <v>57</v>
      </c>
      <c r="B27" s="26"/>
      <c r="C27" s="21"/>
      <c r="D27">
        <v>170</v>
      </c>
      <c r="E27" s="21"/>
      <c r="G27" s="21"/>
      <c r="H27" s="19">
        <v>42</v>
      </c>
      <c r="I27" s="26">
        <v>180</v>
      </c>
      <c r="J27" s="21">
        <f t="shared" si="11"/>
        <v>1.8</v>
      </c>
      <c r="K27">
        <v>195</v>
      </c>
      <c r="L27" s="21">
        <f t="shared" ref="L27" si="12">K27*0.01</f>
        <v>1.95</v>
      </c>
      <c r="N27" s="21"/>
      <c r="O27" s="19">
        <v>27</v>
      </c>
      <c r="P27" s="26">
        <v>209</v>
      </c>
      <c r="Q27" s="21">
        <f t="shared" si="7"/>
        <v>2.09</v>
      </c>
      <c r="S27" s="21"/>
      <c r="U27" s="21"/>
      <c r="W27" s="21"/>
      <c r="Y27" s="21"/>
      <c r="Z27" s="19">
        <v>11</v>
      </c>
      <c r="AA27">
        <v>170</v>
      </c>
      <c r="AB27" s="21">
        <f t="shared" si="10"/>
        <v>1.7</v>
      </c>
      <c r="AD27" s="21"/>
    </row>
    <row r="28" spans="1:30" x14ac:dyDescent="0.25">
      <c r="A28" s="19">
        <v>56</v>
      </c>
      <c r="B28" s="26"/>
      <c r="C28" s="21"/>
      <c r="D28">
        <v>234</v>
      </c>
      <c r="E28" s="21">
        <f t="shared" ref="E28:E33" si="13">D28*0.01</f>
        <v>2.34</v>
      </c>
      <c r="G28" s="21"/>
      <c r="H28" s="19">
        <v>41</v>
      </c>
      <c r="I28">
        <v>287</v>
      </c>
      <c r="J28" s="21">
        <f t="shared" si="11"/>
        <v>2.87</v>
      </c>
      <c r="L28" s="21"/>
      <c r="N28" s="21"/>
      <c r="O28" s="19">
        <v>26</v>
      </c>
      <c r="P28" s="26"/>
      <c r="Q28" s="21"/>
      <c r="S28" s="21"/>
      <c r="U28" s="21"/>
      <c r="W28" s="21"/>
      <c r="Y28" s="21"/>
      <c r="Z28" s="19">
        <v>10</v>
      </c>
      <c r="AA28">
        <v>174</v>
      </c>
      <c r="AB28" s="21">
        <f t="shared" si="10"/>
        <v>1.74</v>
      </c>
      <c r="AD28" s="21"/>
    </row>
    <row r="29" spans="1:30" x14ac:dyDescent="0.25">
      <c r="A29" s="19">
        <v>55</v>
      </c>
      <c r="B29" s="26"/>
      <c r="C29" s="21"/>
      <c r="D29">
        <v>190</v>
      </c>
      <c r="E29" s="21"/>
      <c r="F29">
        <v>237</v>
      </c>
      <c r="G29" s="21">
        <f>F29*0.01</f>
        <v>2.37</v>
      </c>
      <c r="H29" s="19">
        <v>40</v>
      </c>
      <c r="I29" s="26"/>
      <c r="J29" s="21"/>
      <c r="L29" s="21"/>
      <c r="N29" s="21"/>
      <c r="O29" s="19">
        <v>25</v>
      </c>
      <c r="P29" s="26">
        <v>110</v>
      </c>
      <c r="Q29" s="21">
        <f t="shared" si="7"/>
        <v>1.1000000000000001</v>
      </c>
      <c r="R29">
        <v>235</v>
      </c>
      <c r="S29" s="21">
        <f>R29*0.01</f>
        <v>2.35</v>
      </c>
      <c r="U29" s="21"/>
      <c r="W29" s="21"/>
      <c r="Y29" s="21"/>
      <c r="Z29" s="19">
        <v>9</v>
      </c>
      <c r="AA29">
        <v>170</v>
      </c>
      <c r="AB29" s="21">
        <f t="shared" si="10"/>
        <v>1.7</v>
      </c>
      <c r="AD29" s="21"/>
    </row>
    <row r="30" spans="1:30" x14ac:dyDescent="0.25">
      <c r="A30" s="19">
        <v>54</v>
      </c>
      <c r="B30" s="26"/>
      <c r="C30" s="21"/>
      <c r="D30">
        <v>218</v>
      </c>
      <c r="E30" s="21">
        <f t="shared" si="13"/>
        <v>2.1800000000000002</v>
      </c>
      <c r="G30" s="21"/>
      <c r="H30" s="19">
        <v>39</v>
      </c>
      <c r="I30" s="26">
        <v>200</v>
      </c>
      <c r="J30" s="21">
        <f t="shared" si="11"/>
        <v>2</v>
      </c>
      <c r="K30">
        <v>144</v>
      </c>
      <c r="L30" s="21">
        <f t="shared" ref="L30" si="14">K30*0.01</f>
        <v>1.44</v>
      </c>
      <c r="M30">
        <v>165</v>
      </c>
      <c r="N30" s="21">
        <f t="shared" ref="N30" si="15">M30*0.01</f>
        <v>1.6500000000000001</v>
      </c>
      <c r="O30" s="19">
        <v>24</v>
      </c>
      <c r="P30" s="26">
        <v>240</v>
      </c>
      <c r="Q30" s="21">
        <f t="shared" si="7"/>
        <v>2.4</v>
      </c>
      <c r="S30" s="21"/>
      <c r="U30" s="21"/>
      <c r="W30" s="21"/>
      <c r="Y30" s="21"/>
      <c r="Z30" s="19">
        <v>8</v>
      </c>
      <c r="AA30">
        <v>206</v>
      </c>
      <c r="AB30" s="21">
        <f t="shared" si="10"/>
        <v>2.06</v>
      </c>
      <c r="AD30" s="21"/>
    </row>
    <row r="31" spans="1:30" x14ac:dyDescent="0.25">
      <c r="A31" s="19">
        <v>53</v>
      </c>
      <c r="B31" s="26"/>
      <c r="C31" s="21"/>
      <c r="D31">
        <v>236</v>
      </c>
      <c r="E31" s="21"/>
      <c r="G31" s="21"/>
      <c r="H31" s="19">
        <v>38</v>
      </c>
      <c r="I31" s="26"/>
      <c r="J31" s="21"/>
      <c r="L31" s="21"/>
      <c r="N31" s="21"/>
      <c r="O31" s="19">
        <v>23</v>
      </c>
      <c r="P31" s="26">
        <v>101</v>
      </c>
      <c r="Q31" s="21">
        <f t="shared" si="7"/>
        <v>1.01</v>
      </c>
      <c r="R31">
        <v>188</v>
      </c>
      <c r="S31" s="21">
        <f t="shared" ref="S31" si="16">R31*0.01</f>
        <v>1.8800000000000001</v>
      </c>
      <c r="T31">
        <v>179</v>
      </c>
      <c r="U31" s="21">
        <f t="shared" ref="U31" si="17">T31*0.01</f>
        <v>1.79</v>
      </c>
      <c r="V31">
        <v>215</v>
      </c>
      <c r="W31" s="21">
        <f t="shared" ref="W31" si="18">V31*0.01</f>
        <v>2.15</v>
      </c>
      <c r="X31">
        <v>234</v>
      </c>
      <c r="Y31" s="21">
        <f t="shared" ref="Y31" si="19">X31*0.01</f>
        <v>2.34</v>
      </c>
      <c r="Z31" s="19">
        <v>7</v>
      </c>
      <c r="AA31">
        <v>169</v>
      </c>
      <c r="AB31" s="21">
        <f t="shared" si="10"/>
        <v>1.69</v>
      </c>
      <c r="AC31">
        <v>173</v>
      </c>
      <c r="AD31" s="21">
        <f t="shared" ref="AD31" si="20">AC31*0.01</f>
        <v>1.73</v>
      </c>
    </row>
    <row r="32" spans="1:30" x14ac:dyDescent="0.25">
      <c r="A32" s="19">
        <v>52</v>
      </c>
      <c r="B32" s="26">
        <v>253</v>
      </c>
      <c r="C32" s="21">
        <f t="shared" si="8"/>
        <v>2.5300000000000002</v>
      </c>
      <c r="E32" s="21"/>
      <c r="G32" s="21"/>
      <c r="H32" s="19">
        <v>37</v>
      </c>
      <c r="I32">
        <v>240</v>
      </c>
      <c r="J32" s="21">
        <f t="shared" ref="J32" si="21">I32*0.01</f>
        <v>2.4</v>
      </c>
      <c r="L32" s="21"/>
      <c r="N32" s="21"/>
      <c r="O32" s="19">
        <v>22</v>
      </c>
      <c r="P32" s="26"/>
      <c r="Q32" s="21"/>
      <c r="U32" s="21"/>
      <c r="W32" s="21"/>
      <c r="Y32" s="21"/>
      <c r="Z32" s="19">
        <v>6</v>
      </c>
      <c r="AB32" s="21"/>
      <c r="AD32" s="21"/>
    </row>
    <row r="33" spans="1:33" x14ac:dyDescent="0.25">
      <c r="A33" s="19">
        <v>51</v>
      </c>
      <c r="B33" s="26"/>
      <c r="C33" s="21"/>
      <c r="D33">
        <v>222</v>
      </c>
      <c r="E33" s="21">
        <f t="shared" si="13"/>
        <v>2.2200000000000002</v>
      </c>
      <c r="G33" s="21"/>
      <c r="H33" s="19">
        <v>36</v>
      </c>
      <c r="I33" s="26">
        <v>218</v>
      </c>
      <c r="J33" s="21">
        <f t="shared" si="11"/>
        <v>2.1800000000000002</v>
      </c>
      <c r="K33">
        <v>293</v>
      </c>
      <c r="L33" s="21">
        <f t="shared" ref="L33" si="22">K33*0.01</f>
        <v>2.93</v>
      </c>
      <c r="N33" s="21"/>
      <c r="O33" s="19">
        <v>21</v>
      </c>
      <c r="P33">
        <v>194</v>
      </c>
      <c r="Q33" s="21">
        <f>P33*0.01</f>
        <v>1.94</v>
      </c>
      <c r="R33">
        <v>232</v>
      </c>
      <c r="S33" s="21">
        <f>R33*0.01</f>
        <v>2.3199999999999998</v>
      </c>
      <c r="T33">
        <v>226</v>
      </c>
      <c r="U33" s="21">
        <f>T33*0.01</f>
        <v>2.2600000000000002</v>
      </c>
      <c r="W33" s="21"/>
      <c r="Y33" s="21"/>
      <c r="Z33" s="19">
        <v>5</v>
      </c>
      <c r="AA33">
        <v>221</v>
      </c>
      <c r="AB33" s="21">
        <f t="shared" si="10"/>
        <v>2.21</v>
      </c>
      <c r="AD33" s="21"/>
    </row>
    <row r="34" spans="1:33" x14ac:dyDescent="0.25">
      <c r="A34" s="19">
        <v>50</v>
      </c>
      <c r="B34" s="26"/>
      <c r="C34" s="21"/>
      <c r="E34" s="21"/>
      <c r="F34" s="21"/>
      <c r="G34" s="21"/>
      <c r="H34" s="19">
        <v>35</v>
      </c>
      <c r="I34" s="26">
        <v>249</v>
      </c>
      <c r="J34" s="21">
        <f t="shared" si="11"/>
        <v>2.4900000000000002</v>
      </c>
      <c r="L34" s="21"/>
      <c r="N34" s="21"/>
      <c r="O34" s="19">
        <v>20</v>
      </c>
      <c r="P34" s="26">
        <v>219</v>
      </c>
      <c r="Q34" s="21">
        <f t="shared" si="7"/>
        <v>2.19</v>
      </c>
      <c r="R34">
        <v>172</v>
      </c>
      <c r="S34" s="21">
        <f>R34*0.01</f>
        <v>1.72</v>
      </c>
      <c r="T34">
        <v>190</v>
      </c>
      <c r="U34" s="21">
        <f t="shared" ref="U34" si="23">T34*0.01</f>
        <v>1.9000000000000001</v>
      </c>
      <c r="V34">
        <v>111</v>
      </c>
      <c r="W34" s="21">
        <f t="shared" ref="W34" si="24">V34*0.01</f>
        <v>1.1100000000000001</v>
      </c>
      <c r="Y34" s="21"/>
      <c r="Z34" s="19">
        <v>4</v>
      </c>
      <c r="AA34">
        <v>202</v>
      </c>
      <c r="AB34" s="21">
        <f t="shared" si="10"/>
        <v>2.02</v>
      </c>
      <c r="AD34" s="21"/>
    </row>
    <row r="35" spans="1:33" x14ac:dyDescent="0.25">
      <c r="A35" s="19">
        <v>49</v>
      </c>
      <c r="B35" s="26"/>
      <c r="C35" s="21"/>
      <c r="E35" s="21"/>
      <c r="F35" s="21"/>
      <c r="G35" s="21"/>
      <c r="H35" s="19">
        <v>34</v>
      </c>
      <c r="I35" s="26">
        <v>312</v>
      </c>
      <c r="J35" s="21">
        <f t="shared" si="11"/>
        <v>3.12</v>
      </c>
      <c r="L35" s="21"/>
      <c r="N35" s="21"/>
      <c r="O35" s="19">
        <v>19</v>
      </c>
      <c r="P35" s="26">
        <v>222</v>
      </c>
      <c r="Q35" s="21">
        <f t="shared" si="7"/>
        <v>2.2200000000000002</v>
      </c>
      <c r="R35">
        <v>148</v>
      </c>
      <c r="S35" s="21">
        <f t="shared" ref="S35" si="25">R35*0.01</f>
        <v>1.48</v>
      </c>
      <c r="U35" s="21"/>
      <c r="W35" s="21"/>
      <c r="Y35" s="21"/>
      <c r="Z35" s="19">
        <v>3</v>
      </c>
      <c r="AB35" s="21"/>
      <c r="AD35" s="21"/>
    </row>
    <row r="36" spans="1:33" x14ac:dyDescent="0.25">
      <c r="A36" s="19">
        <v>48</v>
      </c>
      <c r="B36" s="26">
        <v>245</v>
      </c>
      <c r="C36" s="21">
        <f t="shared" si="8"/>
        <v>2.4500000000000002</v>
      </c>
      <c r="D36">
        <v>218</v>
      </c>
      <c r="E36" s="21"/>
      <c r="F36" s="21"/>
      <c r="G36" s="21"/>
      <c r="H36" s="19">
        <v>33</v>
      </c>
      <c r="I36" s="26">
        <v>346</v>
      </c>
      <c r="J36" s="21">
        <f t="shared" si="11"/>
        <v>3.46</v>
      </c>
      <c r="K36">
        <v>309</v>
      </c>
      <c r="L36" s="21">
        <f>K36*0.01</f>
        <v>3.09</v>
      </c>
      <c r="N36" s="21"/>
      <c r="O36" s="19">
        <v>18</v>
      </c>
      <c r="P36">
        <v>230</v>
      </c>
      <c r="Q36" s="21">
        <f t="shared" si="7"/>
        <v>2.3000000000000003</v>
      </c>
      <c r="S36" s="21"/>
      <c r="U36" s="21"/>
      <c r="W36" s="21"/>
      <c r="Y36" s="21"/>
      <c r="Z36" s="19">
        <v>2</v>
      </c>
      <c r="AB36" s="21"/>
      <c r="AD36" s="21"/>
    </row>
    <row r="37" spans="1:33" x14ac:dyDescent="0.25">
      <c r="A37" s="19">
        <v>47</v>
      </c>
      <c r="B37" s="26"/>
      <c r="C37" s="21"/>
      <c r="E37" s="21"/>
      <c r="F37" s="21"/>
      <c r="G37" s="21"/>
      <c r="H37" s="24">
        <v>32</v>
      </c>
      <c r="I37">
        <v>183</v>
      </c>
      <c r="J37" s="21">
        <f t="shared" si="11"/>
        <v>1.83</v>
      </c>
      <c r="K37">
        <v>220</v>
      </c>
      <c r="L37" s="21">
        <f t="shared" ref="L37" si="26">K37*0.01</f>
        <v>2.2000000000000002</v>
      </c>
      <c r="N37" s="21"/>
      <c r="O37" s="24">
        <v>17</v>
      </c>
      <c r="P37" s="26"/>
      <c r="Q37" s="21"/>
      <c r="S37" s="21"/>
      <c r="U37" s="21"/>
      <c r="W37" s="21"/>
      <c r="Y37" s="21"/>
      <c r="Z37" s="24">
        <v>1</v>
      </c>
      <c r="AA37">
        <v>160</v>
      </c>
      <c r="AB37" s="21">
        <f t="shared" si="10"/>
        <v>1.6</v>
      </c>
      <c r="AC37">
        <v>151</v>
      </c>
      <c r="AD37" s="21">
        <f t="shared" ref="AD37" si="27">AC37*0.01</f>
        <v>1.51</v>
      </c>
    </row>
    <row r="40" spans="1:33" ht="45" x14ac:dyDescent="0.25">
      <c r="A40" s="27" t="s">
        <v>134</v>
      </c>
      <c r="B40" s="19" t="s">
        <v>127</v>
      </c>
      <c r="C40" s="19"/>
      <c r="D40" s="27" t="s">
        <v>135</v>
      </c>
      <c r="E40" s="19" t="s">
        <v>127</v>
      </c>
      <c r="F40" s="19"/>
      <c r="H40" s="27" t="s">
        <v>128</v>
      </c>
      <c r="I40" s="19" t="s">
        <v>127</v>
      </c>
      <c r="J40" s="19"/>
      <c r="K40" s="27" t="s">
        <v>129</v>
      </c>
      <c r="L40" s="19" t="s">
        <v>127</v>
      </c>
      <c r="M40" s="19"/>
      <c r="O40" s="27" t="s">
        <v>130</v>
      </c>
      <c r="P40" s="19" t="s">
        <v>127</v>
      </c>
      <c r="Q40" s="19"/>
      <c r="R40" s="27" t="s">
        <v>131</v>
      </c>
      <c r="S40" s="19" t="s">
        <v>127</v>
      </c>
      <c r="T40" s="19"/>
      <c r="U40" s="5"/>
      <c r="V40" s="5"/>
      <c r="Z40" s="27" t="s">
        <v>132</v>
      </c>
      <c r="AA40" s="19" t="s">
        <v>127</v>
      </c>
      <c r="AB40" s="19"/>
      <c r="AC40" s="27" t="s">
        <v>133</v>
      </c>
      <c r="AD40" s="19" t="s">
        <v>127</v>
      </c>
      <c r="AE40" s="19"/>
      <c r="AF40" s="5"/>
      <c r="AG40" s="5"/>
    </row>
    <row r="41" spans="1:33" x14ac:dyDescent="0.25">
      <c r="A41" t="s">
        <v>79</v>
      </c>
      <c r="B41">
        <f>COUNTIFS($D$4:$D$18,"&gt;0.96", $D$4:$D$18, "&lt;=1")</f>
        <v>5</v>
      </c>
      <c r="D41" t="s">
        <v>73</v>
      </c>
      <c r="E41">
        <f>COUNTIFS($C$23:$G$37,"&gt;2.40", $C$23:$G$37, "&lt;=2.53")</f>
        <v>2</v>
      </c>
      <c r="H41" t="s">
        <v>86</v>
      </c>
      <c r="I41">
        <f>COUNTIFS($I$4:$N$18,"&gt;1.01", $I$4:$N$18, "&lt;=1.04")</f>
        <v>1</v>
      </c>
      <c r="K41" t="s">
        <v>92</v>
      </c>
      <c r="L41">
        <f>COUNTIFS($I$23:$N$37,"&gt;3.13", $I$23:$N$37, "&lt;=3.46")</f>
        <v>1</v>
      </c>
      <c r="O41" t="s">
        <v>99</v>
      </c>
      <c r="P41">
        <f>COUNTIFS($P$4:$Y$18,"&gt;0.97", $P$4:$Y$18, "&lt;=1")</f>
        <v>5</v>
      </c>
      <c r="R41" t="s">
        <v>106</v>
      </c>
      <c r="S41">
        <f>COUNTIFS($P$23:$Y$37,"&gt;2.2", $P$23:$Y$37, "&lt;=2.4")</f>
        <v>7</v>
      </c>
      <c r="U41" s="5"/>
      <c r="V41" s="5"/>
      <c r="Z41" t="s">
        <v>113</v>
      </c>
      <c r="AA41">
        <f>COUNTIFS($AA$4:$AD$18,"&gt;0.97", $AA$4:$AD$18, "&lt;=1.02")</f>
        <v>3</v>
      </c>
      <c r="AC41" t="s">
        <v>120</v>
      </c>
      <c r="AD41">
        <f>COUNTIFS($AA$23:$AD$37,"&gt;2.05", $AA$23:$AD$37, "&lt;=2.3")</f>
        <v>3</v>
      </c>
      <c r="AF41" s="5"/>
      <c r="AG41" s="5"/>
    </row>
    <row r="42" spans="1:33" x14ac:dyDescent="0.25">
      <c r="A42" t="s">
        <v>80</v>
      </c>
      <c r="B42">
        <f>COUNTIFS($D$4:$D$18,"&gt;0.91", $D$4:$D$18, "&lt;=0.96")</f>
        <v>0</v>
      </c>
      <c r="D42" t="s">
        <v>74</v>
      </c>
      <c r="E42">
        <f>COUNTIFS($C$23:$G$37,"&gt;2.26", $C$23:$G$37, "&lt;2.40")</f>
        <v>2</v>
      </c>
      <c r="H42" t="s">
        <v>87</v>
      </c>
      <c r="I42">
        <f>COUNTIFS($D$4:$D$18,"&gt;0.98", $D$4:$D$18, "&lt;1.01")</f>
        <v>2</v>
      </c>
      <c r="K42" t="s">
        <v>93</v>
      </c>
      <c r="L42">
        <f>COUNTIFS($I$23:$N$37,"&gt;2.8", $I$23:$N$37, "&lt;3.13")</f>
        <v>4</v>
      </c>
      <c r="O42" t="s">
        <v>100</v>
      </c>
      <c r="P42">
        <f>COUNTIFS($P$4:$Y$18,"&gt;=0.94", $P$4:$Y$18, "&lt;0.97")</f>
        <v>5</v>
      </c>
      <c r="R42" t="s">
        <v>107</v>
      </c>
      <c r="S42">
        <f>COUNTIFS($P$23:$Y$37,"&gt;=2", $P$23:$Y$37, "&lt;=2.2")</f>
        <v>3</v>
      </c>
      <c r="Z42" t="s">
        <v>114</v>
      </c>
      <c r="AA42">
        <f>COUNTIFS($AA$4:$AD$18,"&gt;=0.92", $AA$4:$AD$18, "&lt;0.97")</f>
        <v>6</v>
      </c>
      <c r="AC42" t="s">
        <v>121</v>
      </c>
      <c r="AD42">
        <f>COUNTIFS($AA$23:$AD$37,"&gt;=1.81", $AA$23:$AD$37, "&lt;=2.05")</f>
        <v>2</v>
      </c>
    </row>
    <row r="43" spans="1:33" x14ac:dyDescent="0.25">
      <c r="A43" t="s">
        <v>81</v>
      </c>
      <c r="B43">
        <f>COUNTIFS($D$4:$D$18,"&gt;0.87", $D$4:$D$18, "&lt;=0.91")</f>
        <v>0</v>
      </c>
      <c r="D43" t="s">
        <v>75</v>
      </c>
      <c r="E43">
        <f>COUNTIFS($C$23:$G$37,"&gt;2.13", $C$23:$G$37, "&lt;2.26")</f>
        <v>3</v>
      </c>
      <c r="H43" t="s">
        <v>88</v>
      </c>
      <c r="I43">
        <f>COUNTIFS($D$4:$D$18,"&gt;0.96", $D$4:$D$18, "&lt;0.98")</f>
        <v>1</v>
      </c>
      <c r="K43" t="s">
        <v>94</v>
      </c>
      <c r="L43">
        <f>COUNTIFS($I$23:$N$37,"&gt;2.47", $I$23:$N$37, "&lt;2.8")</f>
        <v>1</v>
      </c>
      <c r="O43" t="s">
        <v>101</v>
      </c>
      <c r="P43">
        <f>COUNTIFS($P$4:$Y$18,"&gt;=0.91", $P$4:$Y$18, "&lt;0.94")</f>
        <v>0</v>
      </c>
      <c r="R43" t="s">
        <v>108</v>
      </c>
      <c r="S43">
        <f>COUNTIFS($P$23:$Y$37,"&gt;=1.8", $P$23:$Y$37, "&lt;=2")</f>
        <v>3</v>
      </c>
      <c r="U43" s="5"/>
      <c r="Z43" t="s">
        <v>115</v>
      </c>
      <c r="AA43">
        <f>COUNTIFS($AA$4:$AD$18,"&gt;=0.87", $AA$4:$AD$18, "&lt;0.92")</f>
        <v>3</v>
      </c>
      <c r="AC43" t="s">
        <v>122</v>
      </c>
      <c r="AD43">
        <f>COUNTIFS($AA$23:$AD$37,"&gt;=1.56", $AA$23:$AD$37, "&lt;=1.81")</f>
        <v>6</v>
      </c>
      <c r="AF43" s="5"/>
    </row>
    <row r="44" spans="1:33" x14ac:dyDescent="0.25">
      <c r="A44" t="s">
        <v>82</v>
      </c>
      <c r="B44">
        <f>COUNTIFS($D$4:$D$18,"&gt;0.83", $D$4:$D$18, "&lt;=0.87")</f>
        <v>0</v>
      </c>
      <c r="D44" t="s">
        <v>76</v>
      </c>
      <c r="E44">
        <f>COUNTIFS($C$23:$G$37,"&gt;2.00", $C$23:$G$37, "&lt;2.13")</f>
        <v>2</v>
      </c>
      <c r="H44" t="s">
        <v>89</v>
      </c>
      <c r="I44">
        <f>COUNTIFS($D$4:$D$18,"&gt;0.93", $D$4:$D$18, "&lt;0.96")</f>
        <v>0</v>
      </c>
      <c r="K44" t="s">
        <v>95</v>
      </c>
      <c r="L44">
        <f>COUNTIFS($I$23:$N$37,"&gt;2.14", $I$23:$N$37, "&lt;2.47")</f>
        <v>3</v>
      </c>
      <c r="O44" t="s">
        <v>102</v>
      </c>
      <c r="P44">
        <f>COUNTIFS($P$4:$Y$18,"&gt;=0.89", $P$4:$Y$18, "&lt;0.91")</f>
        <v>0</v>
      </c>
      <c r="R44" t="s">
        <v>109</v>
      </c>
      <c r="S44">
        <f>COUNTIFS($P$23:$Y$37,"&gt;=1.61", $P$23:$Y$37, "&lt;=1.8")</f>
        <v>3</v>
      </c>
      <c r="U44" s="5"/>
      <c r="Z44" t="s">
        <v>116</v>
      </c>
      <c r="AA44">
        <f>COUNTIFS($AA$4:$AD$18,"&gt;=0.81", $AA$4:$AD$18, "&lt;0.87")</f>
        <v>0</v>
      </c>
      <c r="AC44" t="s">
        <v>123</v>
      </c>
      <c r="AD44">
        <f>COUNTIFS($AA$23:$AD$37,"&gt;=1.32", $AA$23:$AD$37, "&lt;=1.56")</f>
        <v>1</v>
      </c>
      <c r="AF44" s="5"/>
    </row>
    <row r="45" spans="1:33" x14ac:dyDescent="0.25">
      <c r="A45" t="s">
        <v>83</v>
      </c>
      <c r="B45">
        <f>COUNTIFS($D$4:$D$18,"&gt;0.79", $D$4:$D$18, "&lt;=0.83")</f>
        <v>0</v>
      </c>
      <c r="D45" t="s">
        <v>57</v>
      </c>
      <c r="E45">
        <f>COUNTIFS($C$23:$G$37,"&gt;1.87", $C$23:$G$37, "&lt;2.00")</f>
        <v>1</v>
      </c>
      <c r="H45" t="s">
        <v>90</v>
      </c>
      <c r="I45">
        <f>COUNTIFS($D$4:$D$18,"&gt;0.90", $D$4:$D$18, "&lt;0.93")</f>
        <v>0</v>
      </c>
      <c r="K45" t="s">
        <v>96</v>
      </c>
      <c r="L45">
        <f>COUNTIFS($I$23:$N$37,"&gt;1.81", $I$23:$N$37, "&lt;2.14")</f>
        <v>3</v>
      </c>
      <c r="O45" t="s">
        <v>103</v>
      </c>
      <c r="P45">
        <f>COUNTIFS($P$4:$Y$18,"&gt;=0.86", $P$4:$Y$18, "&lt;0.89")</f>
        <v>0</v>
      </c>
      <c r="R45" t="s">
        <v>110</v>
      </c>
      <c r="S45">
        <f>COUNTIFS($P$23:$Y$37,"&gt;=1.41", $P$23:$Y$37, "&lt;=1.61")</f>
        <v>1</v>
      </c>
      <c r="U45" s="5"/>
      <c r="Z45" t="s">
        <v>117</v>
      </c>
      <c r="AA45">
        <f>COUNTIFS($AA$4:$AD$18,"&gt;=0.76", $AA$4:$AD$18, "&lt;0.81")</f>
        <v>0</v>
      </c>
      <c r="AC45" t="s">
        <v>126</v>
      </c>
      <c r="AD45">
        <f>COUNTIFS($AA$23:$AD$37,"&gt;=1.07", $AA$23:$AD$37, "&lt;=1.32")</f>
        <v>0</v>
      </c>
      <c r="AF45" s="5"/>
    </row>
    <row r="46" spans="1:33" x14ac:dyDescent="0.25">
      <c r="A46" t="s">
        <v>84</v>
      </c>
      <c r="B46">
        <f>COUNTIFS($D$4:$D$18,"&gt;0.74", $D$4:$D$18, "&lt;=0.79")</f>
        <v>0</v>
      </c>
      <c r="D46" t="s">
        <v>77</v>
      </c>
      <c r="E46">
        <f>COUNTIFS($C$23:$G$37,"&gt;1.73", $C$23:$G$37, "&lt;1.87")</f>
        <v>0</v>
      </c>
      <c r="H46" t="s">
        <v>91</v>
      </c>
      <c r="I46">
        <f>COUNTIFS($D$4:$D$18,"&gt;0.88", $D$4:$D$18, "&lt;0.9")</f>
        <v>0</v>
      </c>
      <c r="K46" t="s">
        <v>97</v>
      </c>
      <c r="L46">
        <f>COUNTIFS($I$23:$N$37,"&gt;1.48", $I$23:$N$37, "&lt;1.81")</f>
        <v>2</v>
      </c>
      <c r="O46" t="s">
        <v>104</v>
      </c>
      <c r="P46">
        <f>COUNTIFS($P$4:$Y$18,"&gt;=0.83", $P$4:$Y$18, "&lt;0.86")</f>
        <v>0</v>
      </c>
      <c r="R46" t="s">
        <v>111</v>
      </c>
      <c r="S46">
        <f>COUNTIFS($P$23:$Y$37,"&gt;=1.21", $P$23:$Y$37, "&lt;=1.41")</f>
        <v>2</v>
      </c>
      <c r="U46" s="5"/>
      <c r="Z46" t="s">
        <v>118</v>
      </c>
      <c r="AA46">
        <f>COUNTIFS($AA$4:$AD$18,"&gt;=0.71", $AA$4:$AD$18, "&lt;0.76")</f>
        <v>0</v>
      </c>
      <c r="AC46" t="s">
        <v>124</v>
      </c>
      <c r="AD46">
        <f>COUNTIFS($AA$23:$AD$37,"&gt;=0.83", $AA$23:$AD$37, "&lt;=1.07")</f>
        <v>0</v>
      </c>
      <c r="AF46" s="5"/>
    </row>
    <row r="47" spans="1:33" x14ac:dyDescent="0.25">
      <c r="A47" t="s">
        <v>85</v>
      </c>
      <c r="B47">
        <f>COUNTIFS($D$4:$D$18,"&gt;=0.70", $D$4:$D$18, "&lt;=0.74")</f>
        <v>1</v>
      </c>
      <c r="D47" t="s">
        <v>78</v>
      </c>
      <c r="E47">
        <f>COUNTIFS($C$23:$G$37,"&gt;=1.6", $C$23:$G$37, "&lt;=1.73")</f>
        <v>2</v>
      </c>
      <c r="H47" t="s">
        <v>32</v>
      </c>
      <c r="I47">
        <f>COUNTIFS($D$4:$D$18,"&gt;=0.85", $D$4:$D$18, "&lt;0.88")</f>
        <v>0</v>
      </c>
      <c r="K47" t="s">
        <v>98</v>
      </c>
      <c r="L47">
        <f>COUNTIFS($I$23:$N$37,"&gt;=1.15", $I$23:$N$37, "&lt;1.48")</f>
        <v>3</v>
      </c>
      <c r="O47" t="s">
        <v>105</v>
      </c>
      <c r="P47">
        <f>COUNTIFS($P$4:$Y$18,"&gt;=0.80", $P$4:$Y$18, "&lt;0.83")</f>
        <v>1</v>
      </c>
      <c r="R47" t="s">
        <v>112</v>
      </c>
      <c r="S47">
        <f>COUNTIFS($P$23:$Y$37,"&gt;=1.01", $P$23:$Y$37, "&lt;=1.21")</f>
        <v>3</v>
      </c>
      <c r="U47" s="5"/>
      <c r="Z47" t="s">
        <v>119</v>
      </c>
      <c r="AA47">
        <f>COUNTIFS($AA$4:$AD$18,"&gt;=0.66", $AA$4:$AD$18, "&lt;0.71")</f>
        <v>2</v>
      </c>
      <c r="AC47" t="s">
        <v>125</v>
      </c>
      <c r="AD47">
        <f>COUNTIFS($AA$23:$AD$37,"&gt;=0.58", $AA$23:$AD$37, "&lt;=0.83")</f>
        <v>4</v>
      </c>
      <c r="AF47" s="5"/>
    </row>
    <row r="48" spans="1:33" x14ac:dyDescent="0.25">
      <c r="B48">
        <f>6-B41-B42-B43-B44-B45-B46-B47</f>
        <v>0</v>
      </c>
      <c r="E48">
        <f>12-E41-E42-E43-E44-E45-E46-E47</f>
        <v>0</v>
      </c>
      <c r="I48">
        <f>4-I41-I42-I43-I44-I45-I46-I47</f>
        <v>0</v>
      </c>
      <c r="L48">
        <f>17-L41-L42-L43-L44-L45-L46-L47</f>
        <v>0</v>
      </c>
      <c r="P48">
        <f>11-P41-P42-P43-P44-P45-P46-P47</f>
        <v>0</v>
      </c>
      <c r="S48">
        <f>22-S41-S42-S43-S44-S45-S46-S47</f>
        <v>0</v>
      </c>
      <c r="U48" s="5"/>
      <c r="AA48">
        <f>14-AA41-AA42-AA43-AA44-AA45-AA46-AA47</f>
        <v>0</v>
      </c>
      <c r="AD48">
        <f>16-AD41-AD42-AD43-AD44-AD45-AD46-AD47</f>
        <v>0</v>
      </c>
      <c r="AF48" s="5"/>
    </row>
    <row r="49" spans="8:32" x14ac:dyDescent="0.25">
      <c r="H49" s="5"/>
      <c r="I49" s="5"/>
      <c r="O49" s="5"/>
      <c r="U49" s="5"/>
      <c r="AF49" s="5"/>
    </row>
    <row r="50" spans="8:32" x14ac:dyDescent="0.25">
      <c r="H50" s="5"/>
      <c r="I50" s="5"/>
      <c r="O50" s="5"/>
      <c r="U50" s="5"/>
      <c r="AF50" s="5"/>
    </row>
  </sheetData>
  <mergeCells count="10">
    <mergeCell ref="A1:AD1"/>
    <mergeCell ref="A21:G21"/>
    <mergeCell ref="H21:N21"/>
    <mergeCell ref="O21:Y21"/>
    <mergeCell ref="Z21:AD21"/>
    <mergeCell ref="A2:G2"/>
    <mergeCell ref="H2:N2"/>
    <mergeCell ref="O2:Y2"/>
    <mergeCell ref="Z2:AD2"/>
    <mergeCell ref="A20:A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Wet Weight</vt:lpstr>
      <vt:lpstr>Dry Weight</vt:lpstr>
      <vt:lpstr>Height</vt:lpstr>
      <vt:lpstr>Branches</vt:lpstr>
    </vt:vector>
  </TitlesOfParts>
  <Company>University of Birmingham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Santos (PhD Dept of Civil Eng FT)</dc:creator>
  <cp:lastModifiedBy>Bruno Santos (PhD Dept of Civil Eng FT)</cp:lastModifiedBy>
  <dcterms:created xsi:type="dcterms:W3CDTF">2024-01-19T13:39:57Z</dcterms:created>
  <dcterms:modified xsi:type="dcterms:W3CDTF">2024-06-25T14:48:47Z</dcterms:modified>
</cp:coreProperties>
</file>