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napierac-my.sharepoint.com/personal/e_papagiannaki_napier_ac_uk/Documents/Surplus Value paper/NPE/"/>
    </mc:Choice>
  </mc:AlternateContent>
  <xr:revisionPtr revIDLastSave="4" documentId="8_{BA511965-A00C-4DB1-A550-B72E435E8E7C}" xr6:coauthVersionLast="47" xr6:coauthVersionMax="47" xr10:uidLastSave="{26C983EE-A859-47C2-9C53-9AC4E3861830}"/>
  <bookViews>
    <workbookView xWindow="-110" yWindow="-110" windowWidth="19420" windowHeight="11500" activeTab="2" xr2:uid="{16ABE0FE-ADB1-4069-B54C-80B50DF3CA8C}"/>
  </bookViews>
  <sheets>
    <sheet name="Derive Indicators" sheetId="1" r:id="rId1"/>
    <sheet name="Full Matrix for regression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W35" i="1" l="1"/>
  <c r="FC35" i="1" s="1"/>
  <c r="CO35" i="1"/>
  <c r="CM35" i="1"/>
  <c r="CQ35" i="1" s="1"/>
  <c r="CG35" i="1"/>
  <c r="CL35" i="1" s="1"/>
  <c r="BJ35" i="1"/>
  <c r="BM35" i="1" s="1"/>
  <c r="AO35" i="1"/>
  <c r="AP35" i="1" s="1"/>
  <c r="AS35" i="1" s="1"/>
  <c r="AN35" i="1"/>
  <c r="AW35" i="1" s="1"/>
  <c r="AY35" i="1" s="1"/>
  <c r="AL35" i="1"/>
  <c r="BL35" i="1" s="1"/>
  <c r="AE35" i="1"/>
  <c r="AC35" i="1"/>
  <c r="AF35" i="1" s="1"/>
  <c r="Y35" i="1"/>
  <c r="W35" i="1"/>
  <c r="Z35" i="1" s="1"/>
  <c r="U35" i="1"/>
  <c r="T35" i="1"/>
  <c r="R35" i="1"/>
  <c r="Q35" i="1"/>
  <c r="O35" i="1"/>
  <c r="N35" i="1"/>
  <c r="M35" i="1"/>
  <c r="L35" i="1"/>
  <c r="P35" i="1" s="1"/>
  <c r="S35" i="1" s="1"/>
  <c r="F35" i="1"/>
  <c r="E35" i="1"/>
  <c r="D35" i="1"/>
  <c r="EW34" i="1"/>
  <c r="FC34" i="1" s="1"/>
  <c r="CQ34" i="1"/>
  <c r="CO34" i="1"/>
  <c r="CM34" i="1"/>
  <c r="CK34" i="1"/>
  <c r="CI34" i="1"/>
  <c r="CG34" i="1"/>
  <c r="CL34" i="1" s="1"/>
  <c r="BM34" i="1"/>
  <c r="BP34" i="1" s="1"/>
  <c r="BL34" i="1"/>
  <c r="BJ34" i="1"/>
  <c r="AW34" i="1"/>
  <c r="AO34" i="1"/>
  <c r="AP34" i="1" s="1"/>
  <c r="AS34" i="1" s="1"/>
  <c r="AN34" i="1"/>
  <c r="AL34" i="1"/>
  <c r="AE34" i="1"/>
  <c r="AC34" i="1"/>
  <c r="AF34" i="1" s="1"/>
  <c r="Z34" i="1"/>
  <c r="Y34" i="1"/>
  <c r="W34" i="1"/>
  <c r="U34" i="1"/>
  <c r="T34" i="1"/>
  <c r="S34" i="1"/>
  <c r="R34" i="1"/>
  <c r="Q34" i="1"/>
  <c r="P34" i="1"/>
  <c r="O34" i="1"/>
  <c r="N34" i="1"/>
  <c r="M34" i="1"/>
  <c r="L34" i="1"/>
  <c r="E34" i="1"/>
  <c r="D34" i="1"/>
  <c r="F34" i="1" s="1"/>
  <c r="JE33" i="1"/>
  <c r="IY33" i="1"/>
  <c r="IF33" i="1"/>
  <c r="HR33" i="1"/>
  <c r="HJ33" i="1"/>
  <c r="HG33" i="1"/>
  <c r="FC33" i="1"/>
  <c r="EW33" i="1"/>
  <c r="IK33" i="1" s="1"/>
  <c r="CO33" i="1"/>
  <c r="CM33" i="1"/>
  <c r="CQ33" i="1" s="1"/>
  <c r="CK33" i="1"/>
  <c r="CJ33" i="1"/>
  <c r="CI33" i="1"/>
  <c r="CG33" i="1"/>
  <c r="CL33" i="1" s="1"/>
  <c r="BJ33" i="1"/>
  <c r="BC33" i="1"/>
  <c r="AW33" i="1"/>
  <c r="AS33" i="1"/>
  <c r="AO33" i="1"/>
  <c r="AP33" i="1" s="1"/>
  <c r="AR33" i="1" s="1"/>
  <c r="AN33" i="1"/>
  <c r="AL33" i="1"/>
  <c r="AI33" i="1"/>
  <c r="AF33" i="1"/>
  <c r="AC33" i="1"/>
  <c r="AE33" i="1" s="1"/>
  <c r="Y33" i="1"/>
  <c r="W33" i="1"/>
  <c r="Z33" i="1" s="1"/>
  <c r="T33" i="1"/>
  <c r="O33" i="1"/>
  <c r="N33" i="1"/>
  <c r="M33" i="1"/>
  <c r="L33" i="1"/>
  <c r="F33" i="1"/>
  <c r="E33" i="1"/>
  <c r="D33" i="1"/>
  <c r="JE32" i="1"/>
  <c r="IY32" i="1"/>
  <c r="IN32" i="1"/>
  <c r="IF32" i="1"/>
  <c r="HR32" i="1"/>
  <c r="HJ32" i="1"/>
  <c r="HG32" i="1"/>
  <c r="EW32" i="1"/>
  <c r="CQ32" i="1"/>
  <c r="CO32" i="1"/>
  <c r="CM32" i="1"/>
  <c r="CK32" i="1"/>
  <c r="CJ32" i="1"/>
  <c r="CI32" i="1"/>
  <c r="CG32" i="1"/>
  <c r="CL32" i="1" s="1"/>
  <c r="BJ32" i="1"/>
  <c r="AW32" i="1"/>
  <c r="AO32" i="1"/>
  <c r="AP32" i="1" s="1"/>
  <c r="AN32" i="1"/>
  <c r="AL32" i="1"/>
  <c r="AI32" i="1"/>
  <c r="AC32" i="1"/>
  <c r="Y32" i="1"/>
  <c r="W32" i="1"/>
  <c r="T32" i="1"/>
  <c r="R32" i="1"/>
  <c r="Q32" i="1"/>
  <c r="P32" i="1"/>
  <c r="O32" i="1"/>
  <c r="N32" i="1"/>
  <c r="M32" i="1"/>
  <c r="L32" i="1"/>
  <c r="U32" i="1" s="1"/>
  <c r="F32" i="1"/>
  <c r="BC32" i="1" s="1"/>
  <c r="E32" i="1"/>
  <c r="D32" i="1"/>
  <c r="JE31" i="1"/>
  <c r="IY31" i="1"/>
  <c r="IN31" i="1"/>
  <c r="IK31" i="1"/>
  <c r="IF31" i="1"/>
  <c r="HR31" i="1"/>
  <c r="HJ31" i="1"/>
  <c r="HG31" i="1"/>
  <c r="EW31" i="1"/>
  <c r="FC31" i="1" s="1"/>
  <c r="CO31" i="1"/>
  <c r="CM31" i="1"/>
  <c r="CQ31" i="1" s="1"/>
  <c r="CK31" i="1"/>
  <c r="CJ31" i="1"/>
  <c r="CI31" i="1"/>
  <c r="CG31" i="1"/>
  <c r="CL31" i="1" s="1"/>
  <c r="BM31" i="1"/>
  <c r="BJ31" i="1"/>
  <c r="BC31" i="1"/>
  <c r="BB31" i="1"/>
  <c r="AV31" i="1"/>
  <c r="AS31" i="1"/>
  <c r="AO31" i="1"/>
  <c r="AP31" i="1" s="1"/>
  <c r="AR31" i="1" s="1"/>
  <c r="CT31" i="1" s="1"/>
  <c r="HU31" i="1" s="1"/>
  <c r="AN31" i="1"/>
  <c r="AL31" i="1"/>
  <c r="BL31" i="1" s="1"/>
  <c r="AI31" i="1"/>
  <c r="AF31" i="1"/>
  <c r="AC31" i="1"/>
  <c r="AE31" i="1" s="1"/>
  <c r="Z31" i="1"/>
  <c r="Y31" i="1"/>
  <c r="W31" i="1"/>
  <c r="T31" i="1"/>
  <c r="R31" i="1"/>
  <c r="P31" i="1"/>
  <c r="O31" i="1"/>
  <c r="N31" i="1"/>
  <c r="M31" i="1"/>
  <c r="L31" i="1"/>
  <c r="F31" i="1"/>
  <c r="E31" i="1"/>
  <c r="D31" i="1"/>
  <c r="JE30" i="1"/>
  <c r="IY30" i="1"/>
  <c r="IN30" i="1"/>
  <c r="IF30" i="1"/>
  <c r="HR30" i="1"/>
  <c r="HJ30" i="1"/>
  <c r="HG30" i="1"/>
  <c r="EW30" i="1"/>
  <c r="IK30" i="1" s="1"/>
  <c r="CO30" i="1"/>
  <c r="CM30" i="1"/>
  <c r="CQ30" i="1" s="1"/>
  <c r="CJ30" i="1"/>
  <c r="CG30" i="1"/>
  <c r="BJ30" i="1"/>
  <c r="AV30" i="1"/>
  <c r="DH30" i="1" s="1"/>
  <c r="AS30" i="1"/>
  <c r="AO30" i="1"/>
  <c r="AP30" i="1" s="1"/>
  <c r="AR30" i="1" s="1"/>
  <c r="AN30" i="1"/>
  <c r="AW30" i="1" s="1"/>
  <c r="AL30" i="1"/>
  <c r="BL30" i="1" s="1"/>
  <c r="AI30" i="1"/>
  <c r="AF30" i="1"/>
  <c r="AC30" i="1"/>
  <c r="AE30" i="1" s="1"/>
  <c r="Y30" i="1"/>
  <c r="W30" i="1"/>
  <c r="Z30" i="1" s="1"/>
  <c r="T30" i="1"/>
  <c r="Q30" i="1"/>
  <c r="P30" i="1"/>
  <c r="O30" i="1"/>
  <c r="N30" i="1"/>
  <c r="M30" i="1"/>
  <c r="L30" i="1"/>
  <c r="E30" i="1"/>
  <c r="D30" i="1"/>
  <c r="F30" i="1" s="1"/>
  <c r="JE29" i="1"/>
  <c r="IY29" i="1"/>
  <c r="IN29" i="1"/>
  <c r="IK29" i="1"/>
  <c r="IF29" i="1"/>
  <c r="HR29" i="1"/>
  <c r="HJ29" i="1"/>
  <c r="HG29" i="1"/>
  <c r="FC29" i="1"/>
  <c r="EW29" i="1"/>
  <c r="DK29" i="1"/>
  <c r="DN29" i="1" s="1"/>
  <c r="CQ29" i="1"/>
  <c r="CO29" i="1"/>
  <c r="CM29" i="1"/>
  <c r="CK29" i="1"/>
  <c r="CI29" i="1"/>
  <c r="CG29" i="1"/>
  <c r="CL29" i="1" s="1"/>
  <c r="BJ29" i="1"/>
  <c r="BD29" i="1"/>
  <c r="AV29" i="1"/>
  <c r="DH29" i="1" s="1"/>
  <c r="AR29" i="1"/>
  <c r="AO29" i="1"/>
  <c r="AP29" i="1" s="1"/>
  <c r="AS29" i="1" s="1"/>
  <c r="AN29" i="1"/>
  <c r="AL29" i="1"/>
  <c r="AI29" i="1"/>
  <c r="AE29" i="1"/>
  <c r="AC29" i="1"/>
  <c r="AF29" i="1" s="1"/>
  <c r="Z29" i="1"/>
  <c r="Y29" i="1"/>
  <c r="W29" i="1"/>
  <c r="T29" i="1"/>
  <c r="O29" i="1"/>
  <c r="N29" i="1"/>
  <c r="M29" i="1"/>
  <c r="L29" i="1"/>
  <c r="E29" i="1"/>
  <c r="D29" i="1"/>
  <c r="F29" i="1" s="1"/>
  <c r="JE28" i="1"/>
  <c r="IY28" i="1"/>
  <c r="IN28" i="1"/>
  <c r="IK28" i="1"/>
  <c r="IF28" i="1"/>
  <c r="HR28" i="1"/>
  <c r="HJ28" i="1"/>
  <c r="HG28" i="1"/>
  <c r="EW28" i="1"/>
  <c r="FC28" i="1" s="1"/>
  <c r="CO28" i="1"/>
  <c r="CM28" i="1"/>
  <c r="CQ28" i="1" s="1"/>
  <c r="CL28" i="1"/>
  <c r="CK28" i="1"/>
  <c r="CI28" i="1"/>
  <c r="CG28" i="1"/>
  <c r="CJ28" i="1" s="1"/>
  <c r="BL28" i="1"/>
  <c r="BJ28" i="1"/>
  <c r="BD28" i="1"/>
  <c r="AP28" i="1"/>
  <c r="AO28" i="1"/>
  <c r="AN28" i="1"/>
  <c r="AL28" i="1"/>
  <c r="AI28" i="1"/>
  <c r="AC28" i="1"/>
  <c r="AE28" i="1" s="1"/>
  <c r="Z28" i="1"/>
  <c r="Y28" i="1"/>
  <c r="W28" i="1"/>
  <c r="T28" i="1"/>
  <c r="R28" i="1"/>
  <c r="O28" i="1"/>
  <c r="N28" i="1"/>
  <c r="M28" i="1"/>
  <c r="L28" i="1"/>
  <c r="Q28" i="1" s="1"/>
  <c r="F28" i="1"/>
  <c r="E28" i="1"/>
  <c r="D28" i="1"/>
  <c r="JE27" i="1"/>
  <c r="IY27" i="1"/>
  <c r="IN27" i="1"/>
  <c r="IF27" i="1"/>
  <c r="HR27" i="1"/>
  <c r="HJ27" i="1"/>
  <c r="HG27" i="1"/>
  <c r="EW27" i="1"/>
  <c r="CO27" i="1"/>
  <c r="CM27" i="1"/>
  <c r="CQ27" i="1" s="1"/>
  <c r="CG27" i="1"/>
  <c r="BL27" i="1"/>
  <c r="BJ27" i="1"/>
  <c r="BM27" i="1" s="1"/>
  <c r="BB27" i="1"/>
  <c r="AW27" i="1"/>
  <c r="AV27" i="1"/>
  <c r="DH27" i="1" s="1"/>
  <c r="AO27" i="1"/>
  <c r="AP27" i="1" s="1"/>
  <c r="AN27" i="1"/>
  <c r="AL27" i="1"/>
  <c r="AI27" i="1"/>
  <c r="AC27" i="1"/>
  <c r="AE27" i="1" s="1"/>
  <c r="Z27" i="1"/>
  <c r="Y27" i="1"/>
  <c r="W27" i="1"/>
  <c r="U27" i="1"/>
  <c r="T27" i="1"/>
  <c r="S27" i="1"/>
  <c r="R27" i="1"/>
  <c r="P27" i="1"/>
  <c r="O27" i="1"/>
  <c r="N27" i="1"/>
  <c r="M27" i="1"/>
  <c r="L27" i="1"/>
  <c r="Q27" i="1" s="1"/>
  <c r="E27" i="1"/>
  <c r="D27" i="1"/>
  <c r="F27" i="1" s="1"/>
  <c r="JE26" i="1"/>
  <c r="IY26" i="1"/>
  <c r="IN26" i="1"/>
  <c r="IK26" i="1"/>
  <c r="IF26" i="1"/>
  <c r="HR26" i="1"/>
  <c r="HJ26" i="1"/>
  <c r="HG26" i="1"/>
  <c r="EW26" i="1"/>
  <c r="FC26" i="1" s="1"/>
  <c r="DF26" i="1"/>
  <c r="CO26" i="1"/>
  <c r="CM26" i="1"/>
  <c r="CQ26" i="1" s="1"/>
  <c r="CI26" i="1"/>
  <c r="CG26" i="1"/>
  <c r="BJ26" i="1"/>
  <c r="BM26" i="1" s="1"/>
  <c r="BD26" i="1"/>
  <c r="AY26" i="1"/>
  <c r="AW26" i="1"/>
  <c r="AR26" i="1"/>
  <c r="AP26" i="1"/>
  <c r="AS26" i="1" s="1"/>
  <c r="AO26" i="1"/>
  <c r="AN26" i="1"/>
  <c r="AV26" i="1" s="1"/>
  <c r="DH26" i="1" s="1"/>
  <c r="AL26" i="1"/>
  <c r="AI26" i="1"/>
  <c r="AC26" i="1"/>
  <c r="Y26" i="1"/>
  <c r="W26" i="1"/>
  <c r="Z26" i="1" s="1"/>
  <c r="U26" i="1"/>
  <c r="T26" i="1"/>
  <c r="O26" i="1"/>
  <c r="N26" i="1"/>
  <c r="M26" i="1"/>
  <c r="L26" i="1"/>
  <c r="E26" i="1"/>
  <c r="D26" i="1"/>
  <c r="F26" i="1" s="1"/>
  <c r="JE25" i="1"/>
  <c r="IY25" i="1"/>
  <c r="IN25" i="1"/>
  <c r="IF25" i="1"/>
  <c r="HR25" i="1"/>
  <c r="HJ25" i="1"/>
  <c r="HG25" i="1"/>
  <c r="EW25" i="1"/>
  <c r="CQ25" i="1"/>
  <c r="CO25" i="1"/>
  <c r="CM25" i="1"/>
  <c r="CK25" i="1"/>
  <c r="CG25" i="1"/>
  <c r="BM25" i="1"/>
  <c r="BJ25" i="1"/>
  <c r="AW25" i="1"/>
  <c r="AV25" i="1"/>
  <c r="DH25" i="1" s="1"/>
  <c r="AO25" i="1"/>
  <c r="AP25" i="1" s="1"/>
  <c r="AS25" i="1" s="1"/>
  <c r="AN25" i="1"/>
  <c r="AL25" i="1"/>
  <c r="BL25" i="1" s="1"/>
  <c r="AI25" i="1"/>
  <c r="AC25" i="1"/>
  <c r="Y25" i="1"/>
  <c r="Z25" i="1" s="1"/>
  <c r="W25" i="1"/>
  <c r="T25" i="1"/>
  <c r="R25" i="1"/>
  <c r="Q25" i="1"/>
  <c r="O25" i="1"/>
  <c r="N25" i="1"/>
  <c r="M25" i="1"/>
  <c r="L25" i="1"/>
  <c r="F25" i="1"/>
  <c r="E25" i="1"/>
  <c r="D25" i="1"/>
  <c r="JE24" i="1"/>
  <c r="IY24" i="1"/>
  <c r="IN24" i="1"/>
  <c r="IK24" i="1"/>
  <c r="IF24" i="1"/>
  <c r="HR24" i="1"/>
  <c r="HJ24" i="1"/>
  <c r="HG24" i="1"/>
  <c r="FC24" i="1"/>
  <c r="EW24" i="1"/>
  <c r="DH24" i="1"/>
  <c r="CO24" i="1"/>
  <c r="CM24" i="1"/>
  <c r="CQ24" i="1" s="1"/>
  <c r="CL24" i="1"/>
  <c r="CK24" i="1"/>
  <c r="CJ24" i="1"/>
  <c r="CI24" i="1"/>
  <c r="CG24" i="1"/>
  <c r="BJ24" i="1"/>
  <c r="BD24" i="1"/>
  <c r="BC24" i="1"/>
  <c r="BB24" i="1"/>
  <c r="AY24" i="1"/>
  <c r="AW24" i="1"/>
  <c r="AV24" i="1"/>
  <c r="AS24" i="1"/>
  <c r="AP24" i="1"/>
  <c r="AR24" i="1" s="1"/>
  <c r="AN24" i="1"/>
  <c r="AL24" i="1"/>
  <c r="AI24" i="1"/>
  <c r="AE24" i="1"/>
  <c r="AC24" i="1"/>
  <c r="AF24" i="1" s="1"/>
  <c r="Z24" i="1"/>
  <c r="Y24" i="1"/>
  <c r="W24" i="1"/>
  <c r="T24" i="1"/>
  <c r="O24" i="1"/>
  <c r="N24" i="1"/>
  <c r="M24" i="1"/>
  <c r="L24" i="1"/>
  <c r="E24" i="1"/>
  <c r="D24" i="1"/>
  <c r="F24" i="1" s="1"/>
  <c r="JE23" i="1"/>
  <c r="IY23" i="1"/>
  <c r="IN23" i="1"/>
  <c r="IK23" i="1"/>
  <c r="IF23" i="1"/>
  <c r="HR23" i="1"/>
  <c r="HJ23" i="1"/>
  <c r="HG23" i="1"/>
  <c r="FC23" i="1"/>
  <c r="EW23" i="1"/>
  <c r="CO23" i="1"/>
  <c r="CM23" i="1"/>
  <c r="CQ23" i="1" s="1"/>
  <c r="CG23" i="1"/>
  <c r="BJ23" i="1"/>
  <c r="BC23" i="1"/>
  <c r="BB23" i="1"/>
  <c r="AW23" i="1"/>
  <c r="AV23" i="1"/>
  <c r="DH23" i="1" s="1"/>
  <c r="AP23" i="1"/>
  <c r="AS23" i="1" s="1"/>
  <c r="AN23" i="1"/>
  <c r="AL23" i="1"/>
  <c r="AI23" i="1"/>
  <c r="AF23" i="1"/>
  <c r="AC23" i="1"/>
  <c r="AE23" i="1" s="1"/>
  <c r="Y23" i="1"/>
  <c r="Z23" i="1" s="1"/>
  <c r="W23" i="1"/>
  <c r="U23" i="1"/>
  <c r="T23" i="1"/>
  <c r="P23" i="1"/>
  <c r="O23" i="1"/>
  <c r="N23" i="1"/>
  <c r="M23" i="1"/>
  <c r="L23" i="1"/>
  <c r="R23" i="1" s="1"/>
  <c r="E23" i="1"/>
  <c r="D23" i="1"/>
  <c r="F23" i="1" s="1"/>
  <c r="JE22" i="1"/>
  <c r="IY22" i="1"/>
  <c r="IN22" i="1"/>
  <c r="IK22" i="1"/>
  <c r="IF22" i="1"/>
  <c r="HR22" i="1"/>
  <c r="HK22" i="1"/>
  <c r="HJ22" i="1"/>
  <c r="HG22" i="1"/>
  <c r="FC22" i="1"/>
  <c r="EW22" i="1"/>
  <c r="CQ22" i="1"/>
  <c r="CO22" i="1"/>
  <c r="CM22" i="1"/>
  <c r="CL22" i="1"/>
  <c r="CG22" i="1"/>
  <c r="BO22" i="1"/>
  <c r="BL22" i="1"/>
  <c r="BJ22" i="1"/>
  <c r="AW22" i="1"/>
  <c r="AV22" i="1"/>
  <c r="DH22" i="1" s="1"/>
  <c r="AP22" i="1"/>
  <c r="AN22" i="1"/>
  <c r="AL22" i="1"/>
  <c r="AI22" i="1"/>
  <c r="AE22" i="1"/>
  <c r="AC22" i="1"/>
  <c r="AF22" i="1" s="1"/>
  <c r="Y22" i="1"/>
  <c r="Z22" i="1" s="1"/>
  <c r="W22" i="1"/>
  <c r="T22" i="1"/>
  <c r="O22" i="1"/>
  <c r="N22" i="1"/>
  <c r="M22" i="1"/>
  <c r="L22" i="1"/>
  <c r="F22" i="1"/>
  <c r="E22" i="1"/>
  <c r="D22" i="1"/>
  <c r="JE21" i="1"/>
  <c r="IY21" i="1"/>
  <c r="IN21" i="1"/>
  <c r="IK21" i="1"/>
  <c r="IF21" i="1"/>
  <c r="HR21" i="1"/>
  <c r="HJ21" i="1"/>
  <c r="HG21" i="1"/>
  <c r="FC21" i="1"/>
  <c r="EW21" i="1"/>
  <c r="CO21" i="1"/>
  <c r="CM21" i="1"/>
  <c r="CQ21" i="1" s="1"/>
  <c r="CL21" i="1"/>
  <c r="CG21" i="1"/>
  <c r="BO21" i="1"/>
  <c r="BM21" i="1"/>
  <c r="BJ21" i="1"/>
  <c r="BB21" i="1"/>
  <c r="AX21" i="1"/>
  <c r="AV21" i="1"/>
  <c r="DH21" i="1" s="1"/>
  <c r="AS21" i="1"/>
  <c r="AR21" i="1"/>
  <c r="AP21" i="1"/>
  <c r="AN21" i="1"/>
  <c r="AW21" i="1" s="1"/>
  <c r="AL21" i="1"/>
  <c r="BL21" i="1" s="1"/>
  <c r="HK21" i="1" s="1"/>
  <c r="AI21" i="1"/>
  <c r="AC21" i="1"/>
  <c r="AF21" i="1" s="1"/>
  <c r="Y21" i="1"/>
  <c r="W21" i="1"/>
  <c r="Z21" i="1" s="1"/>
  <c r="U21" i="1"/>
  <c r="T21" i="1"/>
  <c r="P21" i="1"/>
  <c r="O21" i="1"/>
  <c r="N21" i="1"/>
  <c r="M21" i="1"/>
  <c r="L21" i="1"/>
  <c r="F21" i="1"/>
  <c r="E21" i="1"/>
  <c r="D21" i="1"/>
  <c r="JE20" i="1"/>
  <c r="IY20" i="1"/>
  <c r="IN20" i="1"/>
  <c r="IK20" i="1"/>
  <c r="IF20" i="1"/>
  <c r="HR20" i="1"/>
  <c r="HJ20" i="1"/>
  <c r="HG20" i="1"/>
  <c r="FC20" i="1"/>
  <c r="EW20" i="1"/>
  <c r="CO20" i="1"/>
  <c r="CM20" i="1"/>
  <c r="CQ20" i="1" s="1"/>
  <c r="CL20" i="1"/>
  <c r="CG20" i="1"/>
  <c r="BM20" i="1"/>
  <c r="BL20" i="1"/>
  <c r="BJ20" i="1"/>
  <c r="AW20" i="1"/>
  <c r="AV20" i="1"/>
  <c r="DH20" i="1" s="1"/>
  <c r="AP20" i="1"/>
  <c r="AN20" i="1"/>
  <c r="AL20" i="1"/>
  <c r="AI20" i="1"/>
  <c r="AC20" i="1"/>
  <c r="AF20" i="1" s="1"/>
  <c r="Z20" i="1"/>
  <c r="Y20" i="1"/>
  <c r="W20" i="1"/>
  <c r="T20" i="1"/>
  <c r="P20" i="1"/>
  <c r="O20" i="1"/>
  <c r="N20" i="1"/>
  <c r="M20" i="1"/>
  <c r="L20" i="1"/>
  <c r="Q20" i="1" s="1"/>
  <c r="E20" i="1"/>
  <c r="D20" i="1"/>
  <c r="F20" i="1" s="1"/>
  <c r="JE19" i="1"/>
  <c r="IY19" i="1"/>
  <c r="IN19" i="1"/>
  <c r="IK19" i="1"/>
  <c r="IF19" i="1"/>
  <c r="HR19" i="1"/>
  <c r="HJ19" i="1"/>
  <c r="HG19" i="1"/>
  <c r="FC19" i="1"/>
  <c r="EW19" i="1"/>
  <c r="CQ19" i="1"/>
  <c r="CO19" i="1"/>
  <c r="CM19" i="1"/>
  <c r="CG19" i="1"/>
  <c r="BO19" i="1"/>
  <c r="BM19" i="1"/>
  <c r="BL19" i="1"/>
  <c r="HK19" i="1" s="1"/>
  <c r="BJ19" i="1"/>
  <c r="BD19" i="1"/>
  <c r="BC19" i="1"/>
  <c r="AV19" i="1"/>
  <c r="DH19" i="1" s="1"/>
  <c r="AR19" i="1"/>
  <c r="AP19" i="1"/>
  <c r="AS19" i="1" s="1"/>
  <c r="AN19" i="1"/>
  <c r="AW19" i="1" s="1"/>
  <c r="AL19" i="1"/>
  <c r="AI19" i="1"/>
  <c r="AF19" i="1"/>
  <c r="AC19" i="1"/>
  <c r="AE19" i="1" s="1"/>
  <c r="Y19" i="1"/>
  <c r="W19" i="1"/>
  <c r="Z19" i="1" s="1"/>
  <c r="T19" i="1"/>
  <c r="Q19" i="1"/>
  <c r="P19" i="1"/>
  <c r="S19" i="1" s="1"/>
  <c r="O19" i="1"/>
  <c r="N19" i="1"/>
  <c r="M19" i="1"/>
  <c r="L19" i="1"/>
  <c r="R19" i="1" s="1"/>
  <c r="F19" i="1"/>
  <c r="AT19" i="1" s="1"/>
  <c r="E19" i="1"/>
  <c r="D19" i="1"/>
  <c r="JE18" i="1"/>
  <c r="IY18" i="1"/>
  <c r="IN18" i="1"/>
  <c r="IF18" i="1"/>
  <c r="HR18" i="1"/>
  <c r="HJ18" i="1"/>
  <c r="HG18" i="1"/>
  <c r="EW18" i="1"/>
  <c r="IK18" i="1" s="1"/>
  <c r="DH18" i="1"/>
  <c r="CT18" i="1"/>
  <c r="CO18" i="1"/>
  <c r="CM18" i="1"/>
  <c r="CQ18" i="1" s="1"/>
  <c r="CK18" i="1"/>
  <c r="CJ18" i="1"/>
  <c r="CG18" i="1"/>
  <c r="CL18" i="1" s="1"/>
  <c r="BJ18" i="1"/>
  <c r="AY18" i="1"/>
  <c r="AV18" i="1"/>
  <c r="AS18" i="1"/>
  <c r="CY18" i="1" s="1"/>
  <c r="AR18" i="1"/>
  <c r="AP18" i="1"/>
  <c r="AN18" i="1"/>
  <c r="AW18" i="1" s="1"/>
  <c r="AL18" i="1"/>
  <c r="BL18" i="1" s="1"/>
  <c r="AI18" i="1"/>
  <c r="AE18" i="1"/>
  <c r="AC18" i="1"/>
  <c r="AF18" i="1" s="1"/>
  <c r="Y18" i="1"/>
  <c r="W18" i="1"/>
  <c r="T18" i="1"/>
  <c r="Q18" i="1"/>
  <c r="O18" i="1"/>
  <c r="N18" i="1"/>
  <c r="M18" i="1"/>
  <c r="L18" i="1"/>
  <c r="U18" i="1" s="1"/>
  <c r="E18" i="1"/>
  <c r="D18" i="1"/>
  <c r="F18" i="1" s="1"/>
  <c r="JE17" i="1"/>
  <c r="IY17" i="1"/>
  <c r="IN17" i="1"/>
  <c r="IF17" i="1"/>
  <c r="HR17" i="1"/>
  <c r="HK17" i="1"/>
  <c r="HJ17" i="1"/>
  <c r="HG17" i="1"/>
  <c r="FC17" i="1"/>
  <c r="EW17" i="1"/>
  <c r="IK17" i="1" s="1"/>
  <c r="DH17" i="1"/>
  <c r="CO17" i="1"/>
  <c r="CM17" i="1"/>
  <c r="CQ17" i="1" s="1"/>
  <c r="CK17" i="1"/>
  <c r="CJ17" i="1"/>
  <c r="CI17" i="1"/>
  <c r="CG17" i="1"/>
  <c r="CL17" i="1" s="1"/>
  <c r="BP17" i="1"/>
  <c r="BO17" i="1"/>
  <c r="BM17" i="1"/>
  <c r="IG17" i="1" s="1"/>
  <c r="BL17" i="1"/>
  <c r="BJ17" i="1"/>
  <c r="AX17" i="1"/>
  <c r="AW17" i="1"/>
  <c r="AV17" i="1"/>
  <c r="AS17" i="1"/>
  <c r="AR17" i="1"/>
  <c r="DF17" i="1" s="1"/>
  <c r="AP17" i="1"/>
  <c r="AN17" i="1"/>
  <c r="AL17" i="1"/>
  <c r="AI17" i="1"/>
  <c r="AF17" i="1"/>
  <c r="AC17" i="1"/>
  <c r="AE17" i="1" s="1"/>
  <c r="Y17" i="1"/>
  <c r="W17" i="1"/>
  <c r="Z17" i="1" s="1"/>
  <c r="T17" i="1"/>
  <c r="O17" i="1"/>
  <c r="N17" i="1"/>
  <c r="M17" i="1"/>
  <c r="L17" i="1"/>
  <c r="F17" i="1"/>
  <c r="E17" i="1"/>
  <c r="D17" i="1"/>
  <c r="JE16" i="1"/>
  <c r="IY16" i="1"/>
  <c r="IN16" i="1"/>
  <c r="IF16" i="1"/>
  <c r="HR16" i="1"/>
  <c r="HJ16" i="1"/>
  <c r="HG16" i="1"/>
  <c r="FC16" i="1"/>
  <c r="EW16" i="1"/>
  <c r="IK16" i="1" s="1"/>
  <c r="CQ16" i="1"/>
  <c r="CO16" i="1"/>
  <c r="CM16" i="1"/>
  <c r="CJ16" i="1"/>
  <c r="CG16" i="1"/>
  <c r="CK16" i="1" s="1"/>
  <c r="BO16" i="1"/>
  <c r="BM16" i="1"/>
  <c r="BL16" i="1"/>
  <c r="BJ16" i="1"/>
  <c r="AW16" i="1"/>
  <c r="AV16" i="1"/>
  <c r="DH16" i="1" s="1"/>
  <c r="AR16" i="1"/>
  <c r="AP16" i="1"/>
  <c r="AS16" i="1" s="1"/>
  <c r="CY16" i="1" s="1"/>
  <c r="AN16" i="1"/>
  <c r="AL16" i="1"/>
  <c r="AI16" i="1"/>
  <c r="AF16" i="1"/>
  <c r="AC16" i="1"/>
  <c r="AE16" i="1" s="1"/>
  <c r="Z16" i="1"/>
  <c r="Y16" i="1"/>
  <c r="W16" i="1"/>
  <c r="T16" i="1"/>
  <c r="O16" i="1"/>
  <c r="N16" i="1"/>
  <c r="M16" i="1"/>
  <c r="L16" i="1"/>
  <c r="E16" i="1"/>
  <c r="D16" i="1"/>
  <c r="F16" i="1" s="1"/>
  <c r="BC16" i="1" s="1"/>
  <c r="JE15" i="1"/>
  <c r="IY15" i="1"/>
  <c r="IN15" i="1"/>
  <c r="IF15" i="1"/>
  <c r="HR15" i="1"/>
  <c r="HJ15" i="1"/>
  <c r="HG15" i="1"/>
  <c r="EW15" i="1"/>
  <c r="CQ15" i="1"/>
  <c r="CO15" i="1"/>
  <c r="CM15" i="1"/>
  <c r="CG15" i="1"/>
  <c r="BL15" i="1"/>
  <c r="BJ15" i="1"/>
  <c r="BD15" i="1"/>
  <c r="BE15" i="1" s="1"/>
  <c r="BG15" i="1" s="1"/>
  <c r="BC15" i="1"/>
  <c r="AW15" i="1"/>
  <c r="AP15" i="1"/>
  <c r="AS15" i="1" s="1"/>
  <c r="AN15" i="1"/>
  <c r="AL15" i="1"/>
  <c r="AI15" i="1"/>
  <c r="AC15" i="1"/>
  <c r="AE15" i="1" s="1"/>
  <c r="Y15" i="1"/>
  <c r="Z15" i="1" s="1"/>
  <c r="W15" i="1"/>
  <c r="U15" i="1"/>
  <c r="T15" i="1"/>
  <c r="P15" i="1"/>
  <c r="O15" i="1"/>
  <c r="N15" i="1"/>
  <c r="M15" i="1"/>
  <c r="L15" i="1"/>
  <c r="F15" i="1"/>
  <c r="BB15" i="1" s="1"/>
  <c r="E15" i="1"/>
  <c r="D15" i="1"/>
  <c r="JE14" i="1"/>
  <c r="IY14" i="1"/>
  <c r="IN14" i="1"/>
  <c r="IK14" i="1"/>
  <c r="IF14" i="1"/>
  <c r="HR14" i="1"/>
  <c r="HJ14" i="1"/>
  <c r="HG14" i="1"/>
  <c r="FC14" i="1"/>
  <c r="EW14" i="1"/>
  <c r="CQ14" i="1"/>
  <c r="CO14" i="1"/>
  <c r="CM14" i="1"/>
  <c r="CJ14" i="1"/>
  <c r="CI14" i="1"/>
  <c r="CG14" i="1"/>
  <c r="BJ14" i="1"/>
  <c r="AW14" i="1"/>
  <c r="AP14" i="1"/>
  <c r="AN14" i="1"/>
  <c r="AV14" i="1" s="1"/>
  <c r="DH14" i="1" s="1"/>
  <c r="AL14" i="1"/>
  <c r="AI14" i="1"/>
  <c r="AF14" i="1"/>
  <c r="AC14" i="1"/>
  <c r="AE14" i="1" s="1"/>
  <c r="Y14" i="1"/>
  <c r="W14" i="1"/>
  <c r="Z14" i="1" s="1"/>
  <c r="U14" i="1"/>
  <c r="T14" i="1"/>
  <c r="S14" i="1"/>
  <c r="R14" i="1"/>
  <c r="Q14" i="1"/>
  <c r="P14" i="1"/>
  <c r="O14" i="1"/>
  <c r="N14" i="1"/>
  <c r="M14" i="1"/>
  <c r="L14" i="1"/>
  <c r="F14" i="1"/>
  <c r="E14" i="1"/>
  <c r="D14" i="1"/>
  <c r="JE13" i="1"/>
  <c r="IY13" i="1"/>
  <c r="IN13" i="1"/>
  <c r="IK13" i="1"/>
  <c r="IF13" i="1"/>
  <c r="HR13" i="1"/>
  <c r="HJ13" i="1"/>
  <c r="HG13" i="1"/>
  <c r="EW13" i="1"/>
  <c r="FC13" i="1" s="1"/>
  <c r="CO13" i="1"/>
  <c r="CM13" i="1"/>
  <c r="CQ13" i="1" s="1"/>
  <c r="CG13" i="1"/>
  <c r="BM13" i="1"/>
  <c r="BL13" i="1"/>
  <c r="BJ13" i="1"/>
  <c r="AY13" i="1"/>
  <c r="AW13" i="1"/>
  <c r="AV13" i="1"/>
  <c r="DH13" i="1" s="1"/>
  <c r="AS13" i="1"/>
  <c r="CY13" i="1" s="1"/>
  <c r="AR13" i="1"/>
  <c r="DF13" i="1" s="1"/>
  <c r="AP13" i="1"/>
  <c r="AN13" i="1"/>
  <c r="AL13" i="1"/>
  <c r="AI13" i="1"/>
  <c r="AF13" i="1"/>
  <c r="AE13" i="1"/>
  <c r="AC13" i="1"/>
  <c r="Y13" i="1"/>
  <c r="W13" i="1"/>
  <c r="Z13" i="1" s="1"/>
  <c r="U13" i="1"/>
  <c r="T13" i="1"/>
  <c r="R13" i="1"/>
  <c r="O13" i="1"/>
  <c r="N13" i="1"/>
  <c r="M13" i="1"/>
  <c r="L13" i="1"/>
  <c r="Q13" i="1" s="1"/>
  <c r="E13" i="1"/>
  <c r="D13" i="1"/>
  <c r="F13" i="1" s="1"/>
  <c r="JE12" i="1"/>
  <c r="IY12" i="1"/>
  <c r="IN12" i="1"/>
  <c r="IK12" i="1"/>
  <c r="IF12" i="1"/>
  <c r="HR12" i="1"/>
  <c r="HK12" i="1"/>
  <c r="HJ12" i="1"/>
  <c r="HG12" i="1"/>
  <c r="EW12" i="1"/>
  <c r="FC12" i="1" s="1"/>
  <c r="DF12" i="1"/>
  <c r="CQ12" i="1"/>
  <c r="CO12" i="1"/>
  <c r="CM12" i="1"/>
  <c r="CG12" i="1"/>
  <c r="BL12" i="1"/>
  <c r="BO12" i="1" s="1"/>
  <c r="BJ12" i="1"/>
  <c r="BM12" i="1" s="1"/>
  <c r="AW12" i="1"/>
  <c r="AV12" i="1"/>
  <c r="DH12" i="1" s="1"/>
  <c r="AT12" i="1"/>
  <c r="AS12" i="1"/>
  <c r="AP12" i="1"/>
  <c r="AR12" i="1" s="1"/>
  <c r="AN12" i="1"/>
  <c r="AL12" i="1"/>
  <c r="AI12" i="1"/>
  <c r="AF12" i="1"/>
  <c r="AE12" i="1"/>
  <c r="AC12" i="1"/>
  <c r="Y12" i="1"/>
  <c r="W12" i="1"/>
  <c r="Z12" i="1" s="1"/>
  <c r="T12" i="1"/>
  <c r="O12" i="1"/>
  <c r="N12" i="1"/>
  <c r="M12" i="1"/>
  <c r="L12" i="1"/>
  <c r="F12" i="1"/>
  <c r="E12" i="1"/>
  <c r="D12" i="1"/>
  <c r="JE11" i="1"/>
  <c r="IY11" i="1"/>
  <c r="IN11" i="1"/>
  <c r="IF11" i="1"/>
  <c r="HR11" i="1"/>
  <c r="HJ11" i="1"/>
  <c r="HG11" i="1"/>
  <c r="EW11" i="1"/>
  <c r="CQ11" i="1"/>
  <c r="CO11" i="1"/>
  <c r="CM11" i="1"/>
  <c r="CL11" i="1"/>
  <c r="CG11" i="1"/>
  <c r="BL11" i="1"/>
  <c r="BJ11" i="1"/>
  <c r="BD11" i="1"/>
  <c r="AP11" i="1"/>
  <c r="AS11" i="1" s="1"/>
  <c r="AN11" i="1"/>
  <c r="AL11" i="1"/>
  <c r="AI11" i="1"/>
  <c r="AC11" i="1"/>
  <c r="AF11" i="1" s="1"/>
  <c r="Z11" i="1"/>
  <c r="Y11" i="1"/>
  <c r="W11" i="1"/>
  <c r="U11" i="1"/>
  <c r="T11" i="1"/>
  <c r="R11" i="1"/>
  <c r="Q11" i="1"/>
  <c r="S11" i="1" s="1"/>
  <c r="P11" i="1"/>
  <c r="O11" i="1"/>
  <c r="N11" i="1"/>
  <c r="M11" i="1"/>
  <c r="L11" i="1"/>
  <c r="F11" i="1"/>
  <c r="E11" i="1"/>
  <c r="D11" i="1"/>
  <c r="JE10" i="1"/>
  <c r="IY10" i="1"/>
  <c r="IN10" i="1"/>
  <c r="IK10" i="1"/>
  <c r="IF10" i="1"/>
  <c r="HR10" i="1"/>
  <c r="HJ10" i="1"/>
  <c r="HG10" i="1"/>
  <c r="EW10" i="1"/>
  <c r="FC10" i="1" s="1"/>
  <c r="DF10" i="1"/>
  <c r="CO10" i="1"/>
  <c r="CM10" i="1"/>
  <c r="CQ10" i="1" s="1"/>
  <c r="CL10" i="1"/>
  <c r="CG10" i="1"/>
  <c r="BJ10" i="1"/>
  <c r="AW10" i="1"/>
  <c r="AV10" i="1"/>
  <c r="AX10" i="1" s="1"/>
  <c r="AP10" i="1"/>
  <c r="AR10" i="1" s="1"/>
  <c r="CT10" i="1" s="1"/>
  <c r="AN10" i="1"/>
  <c r="AL10" i="1"/>
  <c r="AI10" i="1"/>
  <c r="AE10" i="1"/>
  <c r="AC10" i="1"/>
  <c r="AF10" i="1" s="1"/>
  <c r="Y10" i="1"/>
  <c r="W10" i="1"/>
  <c r="Z10" i="1" s="1"/>
  <c r="T10" i="1"/>
  <c r="O10" i="1"/>
  <c r="N10" i="1"/>
  <c r="M10" i="1"/>
  <c r="L10" i="1"/>
  <c r="E10" i="1"/>
  <c r="D10" i="1"/>
  <c r="F10" i="1" s="1"/>
  <c r="JE9" i="1"/>
  <c r="IY9" i="1"/>
  <c r="IN9" i="1"/>
  <c r="IF9" i="1"/>
  <c r="HR9" i="1"/>
  <c r="HJ9" i="1"/>
  <c r="HG9" i="1"/>
  <c r="EW9" i="1"/>
  <c r="FC9" i="1" s="1"/>
  <c r="CO9" i="1"/>
  <c r="CM9" i="1"/>
  <c r="CQ9" i="1" s="1"/>
  <c r="CL9" i="1"/>
  <c r="CK9" i="1"/>
  <c r="CI9" i="1"/>
  <c r="CG9" i="1"/>
  <c r="CJ9" i="1" s="1"/>
  <c r="BL9" i="1"/>
  <c r="BJ9" i="1"/>
  <c r="BM9" i="1" s="1"/>
  <c r="BP9" i="1" s="1"/>
  <c r="AP9" i="1"/>
  <c r="AS9" i="1" s="1"/>
  <c r="AN9" i="1"/>
  <c r="AL9" i="1"/>
  <c r="AI9" i="1"/>
  <c r="AF9" i="1"/>
  <c r="AE9" i="1"/>
  <c r="AC9" i="1"/>
  <c r="Z9" i="1"/>
  <c r="Y9" i="1"/>
  <c r="W9" i="1"/>
  <c r="U9" i="1"/>
  <c r="T9" i="1"/>
  <c r="S9" i="1"/>
  <c r="R9" i="1"/>
  <c r="Q9" i="1"/>
  <c r="P9" i="1"/>
  <c r="O9" i="1"/>
  <c r="N9" i="1"/>
  <c r="M9" i="1"/>
  <c r="L9" i="1"/>
  <c r="E9" i="1"/>
  <c r="D9" i="1"/>
  <c r="F9" i="1" s="1"/>
  <c r="JE8" i="1"/>
  <c r="IY8" i="1"/>
  <c r="IN8" i="1"/>
  <c r="IF8" i="1"/>
  <c r="HR8" i="1"/>
  <c r="HO8" i="1"/>
  <c r="HM8" i="1"/>
  <c r="HK8" i="1"/>
  <c r="HJ8" i="1"/>
  <c r="HG8" i="1"/>
  <c r="FS8" i="1"/>
  <c r="FP8" i="1"/>
  <c r="FG8" i="1"/>
  <c r="GP8" i="1" s="1"/>
  <c r="GS8" i="1" s="1"/>
  <c r="FC8" i="1"/>
  <c r="EW8" i="1"/>
  <c r="IK8" i="1" s="1"/>
  <c r="CO8" i="1"/>
  <c r="CM8" i="1"/>
  <c r="CL8" i="1"/>
  <c r="CK8" i="1"/>
  <c r="CJ8" i="1"/>
  <c r="CI8" i="1"/>
  <c r="CG8" i="1"/>
  <c r="BY8" i="1"/>
  <c r="BM8" i="1"/>
  <c r="BP8" i="1" s="1"/>
  <c r="BL8" i="1"/>
  <c r="BO8" i="1" s="1"/>
  <c r="BJ8" i="1"/>
  <c r="FF8" i="1" s="1"/>
  <c r="HC8" i="1" s="1"/>
  <c r="AV8" i="1"/>
  <c r="DH8" i="1" s="1"/>
  <c r="AS8" i="1"/>
  <c r="AR8" i="1"/>
  <c r="DF8" i="1" s="1"/>
  <c r="AP8" i="1"/>
  <c r="AN8" i="1"/>
  <c r="AL8" i="1"/>
  <c r="AI8" i="1"/>
  <c r="AE8" i="1"/>
  <c r="AC8" i="1"/>
  <c r="AF8" i="1" s="1"/>
  <c r="Y8" i="1"/>
  <c r="W8" i="1"/>
  <c r="Z8" i="1" s="1"/>
  <c r="U8" i="1"/>
  <c r="T8" i="1"/>
  <c r="Q8" i="1"/>
  <c r="O8" i="1"/>
  <c r="N8" i="1"/>
  <c r="M8" i="1"/>
  <c r="L8" i="1"/>
  <c r="E8" i="1"/>
  <c r="D8" i="1"/>
  <c r="F8" i="1" s="1"/>
  <c r="JE7" i="1"/>
  <c r="IY7" i="1"/>
  <c r="IN7" i="1"/>
  <c r="IF7" i="1"/>
  <c r="HR7" i="1"/>
  <c r="HJ7" i="1"/>
  <c r="HG7" i="1"/>
  <c r="EW7" i="1"/>
  <c r="FC7" i="1" s="1"/>
  <c r="DH7" i="1"/>
  <c r="CO7" i="1"/>
  <c r="CM7" i="1"/>
  <c r="CQ7" i="1" s="1"/>
  <c r="CJ7" i="1"/>
  <c r="CG7" i="1"/>
  <c r="CK7" i="1" s="1"/>
  <c r="BJ7" i="1"/>
  <c r="BM7" i="1" s="1"/>
  <c r="AV7" i="1"/>
  <c r="AS7" i="1"/>
  <c r="AR7" i="1"/>
  <c r="AX7" i="1" s="1"/>
  <c r="AP7" i="1"/>
  <c r="AN7" i="1"/>
  <c r="AW7" i="1" s="1"/>
  <c r="AL7" i="1"/>
  <c r="BL7" i="1" s="1"/>
  <c r="AI7" i="1"/>
  <c r="AF7" i="1"/>
  <c r="AE7" i="1"/>
  <c r="AC7" i="1"/>
  <c r="Y7" i="1"/>
  <c r="W7" i="1"/>
  <c r="Z7" i="1" s="1"/>
  <c r="U7" i="1"/>
  <c r="T7" i="1"/>
  <c r="R7" i="1"/>
  <c r="O7" i="1"/>
  <c r="N7" i="1"/>
  <c r="M7" i="1"/>
  <c r="L7" i="1"/>
  <c r="Q7" i="1" s="1"/>
  <c r="E7" i="1"/>
  <c r="D7" i="1"/>
  <c r="F7" i="1" s="1"/>
  <c r="Y1" i="1"/>
  <c r="BB8" i="1" l="1"/>
  <c r="BD8" i="1"/>
  <c r="BC8" i="1"/>
  <c r="FK8" i="1"/>
  <c r="AT8" i="1"/>
  <c r="AZ8" i="1" s="1"/>
  <c r="BA8" i="1" s="1"/>
  <c r="BC10" i="1"/>
  <c r="AT10" i="1"/>
  <c r="AZ10" i="1" s="1"/>
  <c r="BD10" i="1"/>
  <c r="BB10" i="1"/>
  <c r="BC9" i="1"/>
  <c r="BD9" i="1"/>
  <c r="BB9" i="1"/>
  <c r="AT9" i="1"/>
  <c r="V9" i="1"/>
  <c r="BC7" i="1"/>
  <c r="BB7" i="1"/>
  <c r="AT7" i="1"/>
  <c r="AZ7" i="1" s="1"/>
  <c r="BA7" i="1" s="1"/>
  <c r="BD7" i="1"/>
  <c r="IG7" i="1"/>
  <c r="BP7" i="1"/>
  <c r="BC13" i="1"/>
  <c r="BD13" i="1"/>
  <c r="BB13" i="1"/>
  <c r="AT13" i="1"/>
  <c r="AZ13" i="1" s="1"/>
  <c r="BA13" i="1" s="1"/>
  <c r="DE10" i="1"/>
  <c r="IQ10" i="1"/>
  <c r="JB10" i="1"/>
  <c r="EY10" i="1"/>
  <c r="EX10" i="1"/>
  <c r="HU10" i="1"/>
  <c r="DG10" i="1"/>
  <c r="EV10" i="1"/>
  <c r="DD10" i="1"/>
  <c r="HK7" i="1"/>
  <c r="BO7" i="1"/>
  <c r="EE11" i="1"/>
  <c r="BT11" i="1"/>
  <c r="AY8" i="1"/>
  <c r="CZ8" i="1" s="1"/>
  <c r="CY9" i="1"/>
  <c r="AY9" i="1"/>
  <c r="CL7" i="1"/>
  <c r="DF7" i="1"/>
  <c r="DK8" i="1"/>
  <c r="DN8" i="1" s="1"/>
  <c r="AY11" i="1"/>
  <c r="S15" i="1"/>
  <c r="AR9" i="1"/>
  <c r="IG9" i="1"/>
  <c r="BM11" i="1"/>
  <c r="CT7" i="1"/>
  <c r="DJ7" i="1"/>
  <c r="DM7" i="1" s="1"/>
  <c r="DP7" i="1" s="1"/>
  <c r="AX8" i="1"/>
  <c r="AT11" i="1"/>
  <c r="AZ11" i="1" s="1"/>
  <c r="BA11" i="1" s="1"/>
  <c r="BO11" i="1"/>
  <c r="FC11" i="1"/>
  <c r="IK11" i="1"/>
  <c r="Q10" i="1"/>
  <c r="U10" i="1"/>
  <c r="AY12" i="1"/>
  <c r="CZ12" i="1" s="1"/>
  <c r="DA12" i="1"/>
  <c r="CY12" i="1"/>
  <c r="CY7" i="1"/>
  <c r="DK7" i="1"/>
  <c r="DN7" i="1" s="1"/>
  <c r="IG8" i="1"/>
  <c r="IK9" i="1"/>
  <c r="P10" i="1"/>
  <c r="CK10" i="1"/>
  <c r="CI10" i="1"/>
  <c r="BM14" i="1"/>
  <c r="DJ8" i="1"/>
  <c r="EE9" i="1"/>
  <c r="BT9" i="1"/>
  <c r="AV9" i="1"/>
  <c r="DH9" i="1" s="1"/>
  <c r="AW9" i="1"/>
  <c r="AS14" i="1"/>
  <c r="AR14" i="1"/>
  <c r="IK7" i="1"/>
  <c r="R8" i="1"/>
  <c r="P8" i="1"/>
  <c r="CT8" i="1"/>
  <c r="R10" i="1"/>
  <c r="AS10" i="1"/>
  <c r="BL10" i="1"/>
  <c r="CJ10" i="1"/>
  <c r="DH10" i="1"/>
  <c r="HK11" i="1"/>
  <c r="AY7" i="1"/>
  <c r="DA7" i="1" s="1"/>
  <c r="AZ9" i="1"/>
  <c r="BA9" i="1" s="1"/>
  <c r="BM10" i="1"/>
  <c r="BP13" i="1"/>
  <c r="IG13" i="1"/>
  <c r="P7" i="1"/>
  <c r="S7" i="1" s="1"/>
  <c r="DK10" i="1"/>
  <c r="DN10" i="1" s="1"/>
  <c r="V14" i="1"/>
  <c r="BD14" i="1"/>
  <c r="BC14" i="1"/>
  <c r="EF14" i="1" s="1"/>
  <c r="JF14" i="1" s="1"/>
  <c r="AT14" i="1"/>
  <c r="AZ14" i="1" s="1"/>
  <c r="BB14" i="1"/>
  <c r="R16" i="1"/>
  <c r="Q16" i="1"/>
  <c r="P16" i="1"/>
  <c r="S16" i="1" s="1"/>
  <c r="U16" i="1"/>
  <c r="CI7" i="1"/>
  <c r="AV11" i="1"/>
  <c r="DH11" i="1" s="1"/>
  <c r="AW11" i="1"/>
  <c r="CK11" i="1"/>
  <c r="CJ11" i="1"/>
  <c r="CI11" i="1"/>
  <c r="CK13" i="1"/>
  <c r="CI13" i="1"/>
  <c r="CL13" i="1"/>
  <c r="CJ13" i="1"/>
  <c r="AW8" i="1"/>
  <c r="R12" i="1"/>
  <c r="Q12" i="1"/>
  <c r="U12" i="1"/>
  <c r="BA12" i="1" s="1"/>
  <c r="P12" i="1"/>
  <c r="S12" i="1" s="1"/>
  <c r="BO9" i="1"/>
  <c r="HK9" i="1"/>
  <c r="AR11" i="1"/>
  <c r="CL12" i="1"/>
  <c r="CJ12" i="1"/>
  <c r="CI12" i="1"/>
  <c r="CK12" i="1"/>
  <c r="BD18" i="1"/>
  <c r="AT18" i="1"/>
  <c r="AZ18" i="1" s="1"/>
  <c r="BA18" i="1" s="1"/>
  <c r="V18" i="1"/>
  <c r="BB18" i="1"/>
  <c r="BC18" i="1"/>
  <c r="BC11" i="1"/>
  <c r="AX12" i="1"/>
  <c r="DJ12" i="1" s="1"/>
  <c r="DM12" i="1" s="1"/>
  <c r="DP12" i="1" s="1"/>
  <c r="DK12" i="1"/>
  <c r="DN12" i="1" s="1"/>
  <c r="CT12" i="1"/>
  <c r="BA14" i="1"/>
  <c r="BV14" i="1" s="1"/>
  <c r="BM15" i="1"/>
  <c r="AV15" i="1"/>
  <c r="DH15" i="1" s="1"/>
  <c r="AY15" i="1"/>
  <c r="CY15" i="1"/>
  <c r="V11" i="1"/>
  <c r="BD12" i="1"/>
  <c r="BC12" i="1"/>
  <c r="BB12" i="1"/>
  <c r="BP12" i="1"/>
  <c r="IG12" i="1"/>
  <c r="BO13" i="1"/>
  <c r="HK13" i="1"/>
  <c r="CL14" i="1"/>
  <c r="CK14" i="1"/>
  <c r="AR15" i="1"/>
  <c r="CJ15" i="1"/>
  <c r="CI15" i="1"/>
  <c r="CL15" i="1"/>
  <c r="CK15" i="1"/>
  <c r="DJ17" i="1"/>
  <c r="DM17" i="1" s="1"/>
  <c r="DP17" i="1" s="1"/>
  <c r="CY17" i="1"/>
  <c r="AE11" i="1"/>
  <c r="CT13" i="1"/>
  <c r="DK13" i="1"/>
  <c r="DN13" i="1" s="1"/>
  <c r="AX13" i="1"/>
  <c r="DA13" i="1" s="1"/>
  <c r="BU14" i="1"/>
  <c r="EE14" i="1"/>
  <c r="BT14" i="1"/>
  <c r="FC15" i="1"/>
  <c r="IK15" i="1"/>
  <c r="BB11" i="1"/>
  <c r="AZ12" i="1"/>
  <c r="DJ13" i="1"/>
  <c r="DM13" i="1" s="1"/>
  <c r="DP13" i="1" s="1"/>
  <c r="CZ13" i="1"/>
  <c r="HK16" i="1"/>
  <c r="BL14" i="1"/>
  <c r="IG16" i="1"/>
  <c r="BP16" i="1"/>
  <c r="BM18" i="1"/>
  <c r="FC18" i="1"/>
  <c r="BP19" i="1"/>
  <c r="IG19" i="1"/>
  <c r="CT16" i="1"/>
  <c r="DF16" i="1"/>
  <c r="AX16" i="1"/>
  <c r="HK18" i="1"/>
  <c r="BO18" i="1"/>
  <c r="DA21" i="1"/>
  <c r="CZ21" i="1"/>
  <c r="DI21" i="1" s="1"/>
  <c r="DL21" i="1" s="1"/>
  <c r="R22" i="1"/>
  <c r="Q22" i="1"/>
  <c r="U22" i="1"/>
  <c r="P22" i="1"/>
  <c r="P24" i="1"/>
  <c r="R24" i="1"/>
  <c r="U24" i="1"/>
  <c r="Q24" i="1"/>
  <c r="AT16" i="1"/>
  <c r="AZ16" i="1" s="1"/>
  <c r="BD17" i="1"/>
  <c r="BC17" i="1"/>
  <c r="BB17" i="1"/>
  <c r="AT17" i="1"/>
  <c r="AZ17" i="1" s="1"/>
  <c r="CJ19" i="1"/>
  <c r="CL19" i="1"/>
  <c r="CK19" i="1"/>
  <c r="CI19" i="1"/>
  <c r="BE21" i="1"/>
  <c r="BG21" i="1" s="1"/>
  <c r="AX24" i="1"/>
  <c r="CT24" i="1"/>
  <c r="DK24" i="1"/>
  <c r="DN24" i="1" s="1"/>
  <c r="DF24" i="1"/>
  <c r="DK16" i="1"/>
  <c r="DN16" i="1" s="1"/>
  <c r="U17" i="1"/>
  <c r="Q17" i="1"/>
  <c r="P17" i="1"/>
  <c r="S17" i="1" s="1"/>
  <c r="CY19" i="1"/>
  <c r="AY19" i="1"/>
  <c r="BO20" i="1"/>
  <c r="HK20" i="1"/>
  <c r="BM23" i="1"/>
  <c r="BL23" i="1"/>
  <c r="BO15" i="1"/>
  <c r="HK15" i="1"/>
  <c r="CI16" i="1"/>
  <c r="DK18" i="1"/>
  <c r="DN18" i="1" s="1"/>
  <c r="DF18" i="1"/>
  <c r="AX18" i="1"/>
  <c r="DJ18" i="1" s="1"/>
  <c r="DM18" i="1" s="1"/>
  <c r="DP18" i="1" s="1"/>
  <c r="CT19" i="1"/>
  <c r="IG20" i="1"/>
  <c r="BP20" i="1"/>
  <c r="CL16" i="1"/>
  <c r="P13" i="1"/>
  <c r="S13" i="1" s="1"/>
  <c r="R15" i="1"/>
  <c r="Q15" i="1"/>
  <c r="BD16" i="1"/>
  <c r="BB16" i="1"/>
  <c r="R17" i="1"/>
  <c r="IG27" i="1"/>
  <c r="BP27" i="1"/>
  <c r="AF15" i="1"/>
  <c r="EY18" i="1"/>
  <c r="JB18" i="1"/>
  <c r="DE18" i="1"/>
  <c r="DD18" i="1"/>
  <c r="HU18" i="1"/>
  <c r="EX18" i="1"/>
  <c r="EV18" i="1"/>
  <c r="IQ18" i="1"/>
  <c r="DG18" i="1"/>
  <c r="CK21" i="1"/>
  <c r="CJ21" i="1"/>
  <c r="CI21" i="1"/>
  <c r="BB22" i="1"/>
  <c r="BC22" i="1"/>
  <c r="AT22" i="1"/>
  <c r="BD22" i="1"/>
  <c r="S23" i="1"/>
  <c r="DI24" i="1"/>
  <c r="DL24" i="1" s="1"/>
  <c r="FK24" i="1" s="1"/>
  <c r="BM24" i="1"/>
  <c r="BL24" i="1"/>
  <c r="AE26" i="1"/>
  <c r="AF26" i="1"/>
  <c r="AS20" i="1"/>
  <c r="AR20" i="1"/>
  <c r="AS22" i="1"/>
  <c r="AR22" i="1"/>
  <c r="P18" i="1"/>
  <c r="S18" i="1" s="1"/>
  <c r="IG25" i="1"/>
  <c r="CZ30" i="1"/>
  <c r="CY30" i="1"/>
  <c r="AY30" i="1"/>
  <c r="DK19" i="1"/>
  <c r="DN19" i="1" s="1"/>
  <c r="BD21" i="1"/>
  <c r="BC21" i="1"/>
  <c r="BP21" i="1"/>
  <c r="IG21" i="1"/>
  <c r="BP25" i="1"/>
  <c r="DK17" i="1"/>
  <c r="DN17" i="1" s="1"/>
  <c r="R18" i="1"/>
  <c r="CZ18" i="1"/>
  <c r="U19" i="1"/>
  <c r="BT19" i="1" s="1"/>
  <c r="R21" i="1"/>
  <c r="Q21" i="1"/>
  <c r="AF25" i="1"/>
  <c r="AE25" i="1"/>
  <c r="IK25" i="1"/>
  <c r="FC25" i="1"/>
  <c r="DJ16" i="1"/>
  <c r="DM16" i="1" s="1"/>
  <c r="DP16" i="1" s="1"/>
  <c r="CT17" i="1"/>
  <c r="DA18" i="1"/>
  <c r="BD25" i="1"/>
  <c r="BB25" i="1"/>
  <c r="BC25" i="1"/>
  <c r="BB19" i="1"/>
  <c r="AX19" i="1"/>
  <c r="DA19" i="1" s="1"/>
  <c r="DF19" i="1"/>
  <c r="AT20" i="1"/>
  <c r="AZ20" i="1" s="1"/>
  <c r="BC20" i="1"/>
  <c r="BB20" i="1"/>
  <c r="BM22" i="1"/>
  <c r="AE20" i="1"/>
  <c r="BD20" i="1"/>
  <c r="S21" i="1"/>
  <c r="CY21" i="1"/>
  <c r="DJ21" i="1"/>
  <c r="DM21" i="1" s="1"/>
  <c r="DP21" i="1" s="1"/>
  <c r="AY21" i="1"/>
  <c r="CY23" i="1"/>
  <c r="AY23" i="1"/>
  <c r="CI23" i="1"/>
  <c r="CL23" i="1"/>
  <c r="CK23" i="1"/>
  <c r="CJ23" i="1"/>
  <c r="DA16" i="1"/>
  <c r="AY16" i="1"/>
  <c r="CZ16" i="1"/>
  <c r="DI16" i="1" s="1"/>
  <c r="DL16" i="1" s="1"/>
  <c r="AY17" i="1"/>
  <c r="DA17" i="1" s="1"/>
  <c r="Z18" i="1"/>
  <c r="CI18" i="1"/>
  <c r="AZ19" i="1"/>
  <c r="U20" i="1"/>
  <c r="BA20" i="1" s="1"/>
  <c r="R20" i="1"/>
  <c r="S20" i="1" s="1"/>
  <c r="CK20" i="1"/>
  <c r="CJ20" i="1"/>
  <c r="CI20" i="1"/>
  <c r="AT21" i="1"/>
  <c r="BZ29" i="1"/>
  <c r="CY33" i="1"/>
  <c r="AY33" i="1"/>
  <c r="DK21" i="1"/>
  <c r="DN21" i="1" s="1"/>
  <c r="CT21" i="1"/>
  <c r="EE27" i="1"/>
  <c r="BT27" i="1"/>
  <c r="Q23" i="1"/>
  <c r="CZ24" i="1"/>
  <c r="CY24" i="1"/>
  <c r="HK25" i="1"/>
  <c r="BO25" i="1"/>
  <c r="BP26" i="1"/>
  <c r="DF29" i="1"/>
  <c r="AX29" i="1"/>
  <c r="DQ29" i="1" s="1"/>
  <c r="CT29" i="1"/>
  <c r="BO31" i="1"/>
  <c r="HK31" i="1"/>
  <c r="AE21" i="1"/>
  <c r="AZ21" i="1"/>
  <c r="BK21" i="1" s="1"/>
  <c r="AR23" i="1"/>
  <c r="IG26" i="1"/>
  <c r="DF21" i="1"/>
  <c r="AZ22" i="1"/>
  <c r="AY25" i="1"/>
  <c r="CY25" i="1"/>
  <c r="R26" i="1"/>
  <c r="Q26" i="1"/>
  <c r="BL26" i="1"/>
  <c r="CI27" i="1"/>
  <c r="CJ27" i="1"/>
  <c r="CL27" i="1"/>
  <c r="CK27" i="1"/>
  <c r="AT30" i="1"/>
  <c r="AZ30" i="1" s="1"/>
  <c r="BD30" i="1"/>
  <c r="BC30" i="1"/>
  <c r="BB30" i="1"/>
  <c r="CJ22" i="1"/>
  <c r="CK22" i="1"/>
  <c r="AT23" i="1"/>
  <c r="AZ23" i="1" s="1"/>
  <c r="BD23" i="1"/>
  <c r="BE23" i="1" s="1"/>
  <c r="BG23" i="1" s="1"/>
  <c r="BE24" i="1"/>
  <c r="BG24" i="1" s="1"/>
  <c r="AS27" i="1"/>
  <c r="AR27" i="1"/>
  <c r="CI22" i="1"/>
  <c r="P26" i="1"/>
  <c r="S26" i="1" s="1"/>
  <c r="CT26" i="1"/>
  <c r="AX26" i="1"/>
  <c r="AT26" i="1"/>
  <c r="AZ26" i="1" s="1"/>
  <c r="BA26" i="1" s="1"/>
  <c r="DK26" i="1"/>
  <c r="DN26" i="1" s="1"/>
  <c r="AZ27" i="1"/>
  <c r="BA27" i="1" s="1"/>
  <c r="BU27" i="1" s="1"/>
  <c r="AR28" i="1"/>
  <c r="AS28" i="1"/>
  <c r="AZ24" i="1"/>
  <c r="BK24" i="1" s="1"/>
  <c r="U25" i="1"/>
  <c r="P25" i="1"/>
  <c r="S25" i="1" s="1"/>
  <c r="CK26" i="1"/>
  <c r="CJ26" i="1"/>
  <c r="BO30" i="1"/>
  <c r="HK30" i="1"/>
  <c r="BO28" i="1"/>
  <c r="HK28" i="1"/>
  <c r="CL26" i="1"/>
  <c r="AT27" i="1"/>
  <c r="V27" i="1"/>
  <c r="BD27" i="1"/>
  <c r="BC27" i="1"/>
  <c r="EF27" i="1" s="1"/>
  <c r="JF27" i="1" s="1"/>
  <c r="BC28" i="1"/>
  <c r="BB28" i="1"/>
  <c r="AT28" i="1"/>
  <c r="AZ28" i="1" s="1"/>
  <c r="P29" i="1"/>
  <c r="U29" i="1"/>
  <c r="Q29" i="1"/>
  <c r="R29" i="1"/>
  <c r="AT24" i="1"/>
  <c r="AR25" i="1"/>
  <c r="CL25" i="1"/>
  <c r="CJ25" i="1"/>
  <c r="BC26" i="1"/>
  <c r="BB26" i="1"/>
  <c r="AF27" i="1"/>
  <c r="BO27" i="1"/>
  <c r="HK27" i="1"/>
  <c r="CY34" i="1"/>
  <c r="AY34" i="1"/>
  <c r="CI25" i="1"/>
  <c r="CY26" i="1"/>
  <c r="P28" i="1"/>
  <c r="S28" i="1" s="1"/>
  <c r="BM28" i="1"/>
  <c r="AT29" i="1"/>
  <c r="AZ29" i="1" s="1"/>
  <c r="BC29" i="1"/>
  <c r="AX30" i="1"/>
  <c r="DA30" i="1" s="1"/>
  <c r="DK30" i="1"/>
  <c r="DN30" i="1" s="1"/>
  <c r="CT30" i="1"/>
  <c r="CK30" i="1"/>
  <c r="CI30" i="1"/>
  <c r="CL30" i="1"/>
  <c r="BD34" i="1"/>
  <c r="BB34" i="1"/>
  <c r="V34" i="1"/>
  <c r="AT34" i="1"/>
  <c r="AZ34" i="1" s="1"/>
  <c r="BA34" i="1" s="1"/>
  <c r="BC34" i="1"/>
  <c r="BO34" i="1"/>
  <c r="EE35" i="1"/>
  <c r="EN35" i="1" s="1"/>
  <c r="EO35" i="1" s="1"/>
  <c r="BT35" i="1"/>
  <c r="BO35" i="1"/>
  <c r="U28" i="1"/>
  <c r="BL29" i="1"/>
  <c r="BM29" i="1"/>
  <c r="JB31" i="1"/>
  <c r="DG31" i="1"/>
  <c r="EV31" i="1"/>
  <c r="EY31" i="1"/>
  <c r="EX31" i="1"/>
  <c r="IQ31" i="1"/>
  <c r="DE31" i="1"/>
  <c r="DD31" i="1"/>
  <c r="BL32" i="1"/>
  <c r="AV28" i="1"/>
  <c r="DH28" i="1" s="1"/>
  <c r="DJ31" i="1"/>
  <c r="DM31" i="1" s="1"/>
  <c r="DP31" i="1" s="1"/>
  <c r="IK32" i="1"/>
  <c r="FC32" i="1"/>
  <c r="FC27" i="1"/>
  <c r="IK27" i="1"/>
  <c r="AW28" i="1"/>
  <c r="DF30" i="1"/>
  <c r="DH31" i="1"/>
  <c r="DK31" i="1"/>
  <c r="DN31" i="1" s="1"/>
  <c r="S32" i="1"/>
  <c r="DF33" i="1"/>
  <c r="AT33" i="1"/>
  <c r="AF28" i="1"/>
  <c r="AW29" i="1"/>
  <c r="AY29" i="1" s="1"/>
  <c r="U30" i="1"/>
  <c r="BA30" i="1" s="1"/>
  <c r="R30" i="1"/>
  <c r="S30" i="1" s="1"/>
  <c r="BB29" i="1"/>
  <c r="BD31" i="1"/>
  <c r="AT31" i="1"/>
  <c r="AZ31" i="1" s="1"/>
  <c r="BK31" i="1" s="1"/>
  <c r="BM32" i="1"/>
  <c r="AS32" i="1"/>
  <c r="AR32" i="1"/>
  <c r="V32" i="1"/>
  <c r="BB32" i="1"/>
  <c r="GV34" i="1"/>
  <c r="Z32" i="1"/>
  <c r="BM33" i="1"/>
  <c r="AR34" i="1"/>
  <c r="BM30" i="1"/>
  <c r="DF31" i="1"/>
  <c r="AX31" i="1"/>
  <c r="CZ31" i="1" s="1"/>
  <c r="EE34" i="1"/>
  <c r="EN34" i="1" s="1"/>
  <c r="EO34" i="1" s="1"/>
  <c r="BT34" i="1"/>
  <c r="AY31" i="1"/>
  <c r="BP31" i="1"/>
  <c r="IG31" i="1"/>
  <c r="BD32" i="1"/>
  <c r="AF32" i="1"/>
  <c r="AE32" i="1"/>
  <c r="Q33" i="1"/>
  <c r="U33" i="1"/>
  <c r="R33" i="1"/>
  <c r="P33" i="1"/>
  <c r="S33" i="1" s="1"/>
  <c r="BL33" i="1"/>
  <c r="CJ29" i="1"/>
  <c r="FC30" i="1"/>
  <c r="AZ33" i="1"/>
  <c r="AV33" i="1"/>
  <c r="DH33" i="1" s="1"/>
  <c r="AW31" i="1"/>
  <c r="AV32" i="1"/>
  <c r="DH32" i="1" s="1"/>
  <c r="V35" i="1"/>
  <c r="BD35" i="1"/>
  <c r="BC35" i="1"/>
  <c r="BB35" i="1"/>
  <c r="GV35" i="1"/>
  <c r="BP35" i="1"/>
  <c r="BD33" i="1"/>
  <c r="BB33" i="1"/>
  <c r="U31" i="1"/>
  <c r="Q31" i="1"/>
  <c r="S31" i="1" s="1"/>
  <c r="CY35" i="1"/>
  <c r="AR35" i="1"/>
  <c r="AV34" i="1"/>
  <c r="DH34" i="1" s="1"/>
  <c r="CI35" i="1"/>
  <c r="CJ35" i="1"/>
  <c r="CK35" i="1"/>
  <c r="CJ34" i="1"/>
  <c r="AV35" i="1"/>
  <c r="DH35" i="1" s="1"/>
  <c r="EF34" i="1" l="1"/>
  <c r="BU34" i="1"/>
  <c r="BV34" i="1"/>
  <c r="EG34" i="1"/>
  <c r="DA9" i="1"/>
  <c r="ET31" i="1"/>
  <c r="DB31" i="1"/>
  <c r="DI31" i="1"/>
  <c r="DL31" i="1" s="1"/>
  <c r="FJ31" i="1"/>
  <c r="BN31" i="1"/>
  <c r="FH31" i="1"/>
  <c r="FL31" i="1"/>
  <c r="DC19" i="1"/>
  <c r="FG19" i="1" s="1"/>
  <c r="EU19" i="1"/>
  <c r="FA19" i="1" s="1"/>
  <c r="EJ17" i="1"/>
  <c r="DC17" i="1"/>
  <c r="FG17" i="1" s="1"/>
  <c r="EK17" i="1"/>
  <c r="EU17" i="1"/>
  <c r="FA17" i="1" s="1"/>
  <c r="DO16" i="1"/>
  <c r="BY16" i="1"/>
  <c r="FF16" i="1"/>
  <c r="FK16" i="1"/>
  <c r="BK23" i="1"/>
  <c r="BA23" i="1"/>
  <c r="BV23" i="1" s="1"/>
  <c r="II24" i="1"/>
  <c r="EG30" i="1"/>
  <c r="IU30" i="1" s="1"/>
  <c r="BV30" i="1"/>
  <c r="EF30" i="1"/>
  <c r="JF30" i="1" s="1"/>
  <c r="BU30" i="1"/>
  <c r="BT30" i="1"/>
  <c r="EE30" i="1"/>
  <c r="V30" i="1"/>
  <c r="DB12" i="1"/>
  <c r="ET12" i="1"/>
  <c r="DI12" i="1"/>
  <c r="DL12" i="1" s="1"/>
  <c r="BU11" i="1"/>
  <c r="EG11" i="1"/>
  <c r="IU11" i="1" s="1"/>
  <c r="EF11" i="1"/>
  <c r="JF11" i="1" s="1"/>
  <c r="BV11" i="1"/>
  <c r="BU9" i="1"/>
  <c r="EF9" i="1"/>
  <c r="JF9" i="1" s="1"/>
  <c r="BV9" i="1"/>
  <c r="EG9" i="1"/>
  <c r="IU9" i="1" s="1"/>
  <c r="DC30" i="1"/>
  <c r="FG30" i="1" s="1"/>
  <c r="EU30" i="1"/>
  <c r="FA30" i="1" s="1"/>
  <c r="EJ30" i="1"/>
  <c r="EK30" i="1" s="1"/>
  <c r="FJ21" i="1"/>
  <c r="FH21" i="1"/>
  <c r="FL21" i="1"/>
  <c r="BN21" i="1"/>
  <c r="BV20" i="1"/>
  <c r="BU20" i="1"/>
  <c r="BT20" i="1"/>
  <c r="EG20" i="1"/>
  <c r="IU20" i="1" s="1"/>
  <c r="EF20" i="1"/>
  <c r="JF20" i="1" s="1"/>
  <c r="EE20" i="1"/>
  <c r="V20" i="1"/>
  <c r="DO21" i="1"/>
  <c r="BY21" i="1"/>
  <c r="FF21" i="1"/>
  <c r="FK21" i="1"/>
  <c r="FI21" i="1"/>
  <c r="EU7" i="1"/>
  <c r="FA7" i="1" s="1"/>
  <c r="DC7" i="1"/>
  <c r="FG7" i="1" s="1"/>
  <c r="DB8" i="1"/>
  <c r="BW34" i="1"/>
  <c r="BR34" i="1"/>
  <c r="EC34" i="1" s="1"/>
  <c r="BT23" i="1"/>
  <c r="EE23" i="1"/>
  <c r="EG23" i="1"/>
  <c r="IU23" i="1" s="1"/>
  <c r="EU12" i="1"/>
  <c r="FA12" i="1" s="1"/>
  <c r="DC12" i="1"/>
  <c r="FG12" i="1" s="1"/>
  <c r="AY32" i="1"/>
  <c r="CZ32" i="1"/>
  <c r="CY32" i="1"/>
  <c r="HZ31" i="1"/>
  <c r="FB31" i="1"/>
  <c r="BK34" i="1"/>
  <c r="BE34" i="1"/>
  <c r="BG34" i="1" s="1"/>
  <c r="DA26" i="1"/>
  <c r="CZ26" i="1"/>
  <c r="HK26" i="1"/>
  <c r="BO26" i="1"/>
  <c r="AX23" i="1"/>
  <c r="CT23" i="1"/>
  <c r="DK23" i="1"/>
  <c r="DN23" i="1" s="1"/>
  <c r="DF23" i="1"/>
  <c r="EG18" i="1"/>
  <c r="EF18" i="1"/>
  <c r="BV18" i="1"/>
  <c r="BT18" i="1"/>
  <c r="EE18" i="1"/>
  <c r="BU18" i="1"/>
  <c r="DJ19" i="1"/>
  <c r="DM19" i="1" s="1"/>
  <c r="DP19" i="1" s="1"/>
  <c r="BO23" i="1"/>
  <c r="HK23" i="1"/>
  <c r="EG17" i="1"/>
  <c r="IU17" i="1" s="1"/>
  <c r="EE17" i="1"/>
  <c r="BU17" i="1"/>
  <c r="BT17" i="1"/>
  <c r="EF17" i="1"/>
  <c r="JF17" i="1" s="1"/>
  <c r="EU21" i="1"/>
  <c r="FA21" i="1" s="1"/>
  <c r="DC21" i="1"/>
  <c r="FG21" i="1" s="1"/>
  <c r="DE13" i="1"/>
  <c r="JB13" i="1"/>
  <c r="DG13" i="1"/>
  <c r="EV13" i="1"/>
  <c r="HU13" i="1"/>
  <c r="EY13" i="1"/>
  <c r="EX13" i="1"/>
  <c r="IQ13" i="1"/>
  <c r="DD13" i="1"/>
  <c r="BK14" i="1"/>
  <c r="BE14" i="1"/>
  <c r="BG14" i="1" s="1"/>
  <c r="IQ8" i="1"/>
  <c r="DG8" i="1"/>
  <c r="EY8" i="1"/>
  <c r="DE8" i="1"/>
  <c r="JB8" i="1"/>
  <c r="HU8" i="1"/>
  <c r="EX8" i="1"/>
  <c r="DD8" i="1"/>
  <c r="EV8" i="1"/>
  <c r="BZ8" i="1"/>
  <c r="DQ8" i="1"/>
  <c r="FE10" i="1"/>
  <c r="JG10" i="1"/>
  <c r="BA28" i="1"/>
  <c r="EF28" i="1" s="1"/>
  <c r="JF28" i="1" s="1"/>
  <c r="IG24" i="1"/>
  <c r="BP24" i="1"/>
  <c r="EE16" i="1"/>
  <c r="BT16" i="1"/>
  <c r="AY10" i="1"/>
  <c r="DA10" i="1" s="1"/>
  <c r="CZ10" i="1"/>
  <c r="CY10" i="1"/>
  <c r="BA29" i="1"/>
  <c r="DC13" i="1"/>
  <c r="FG13" i="1" s="1"/>
  <c r="EU13" i="1"/>
  <c r="FA13" i="1" s="1"/>
  <c r="BK18" i="1"/>
  <c r="FI18" i="1"/>
  <c r="BE18" i="1"/>
  <c r="BG18" i="1" s="1"/>
  <c r="DQ13" i="1"/>
  <c r="BZ13" i="1"/>
  <c r="BX18" i="1"/>
  <c r="DR18" i="1"/>
  <c r="BS18" i="1"/>
  <c r="ED18" i="1" s="1"/>
  <c r="HY18" i="1" s="1"/>
  <c r="DT18" i="1"/>
  <c r="DS18" i="1"/>
  <c r="BW18" i="1"/>
  <c r="BR18" i="1"/>
  <c r="EC18" i="1" s="1"/>
  <c r="HN18" i="1" s="1"/>
  <c r="EG31" i="1"/>
  <c r="BT31" i="1"/>
  <c r="EF31" i="1"/>
  <c r="EE31" i="1"/>
  <c r="BU31" i="1"/>
  <c r="BV31" i="1"/>
  <c r="V31" i="1"/>
  <c r="BA31" i="1"/>
  <c r="BW35" i="1"/>
  <c r="BR35" i="1"/>
  <c r="EC35" i="1" s="1"/>
  <c r="BP30" i="1"/>
  <c r="IG30" i="1"/>
  <c r="IG32" i="1"/>
  <c r="BP32" i="1"/>
  <c r="CZ29" i="1"/>
  <c r="BO32" i="1"/>
  <c r="HK32" i="1"/>
  <c r="EF35" i="1"/>
  <c r="BK26" i="1"/>
  <c r="BE26" i="1"/>
  <c r="BG26" i="1" s="1"/>
  <c r="BE28" i="1"/>
  <c r="BG28" i="1" s="1"/>
  <c r="BK28" i="1"/>
  <c r="DJ26" i="1"/>
  <c r="DM26" i="1" s="1"/>
  <c r="DP26" i="1" s="1"/>
  <c r="EE25" i="1"/>
  <c r="BT25" i="1"/>
  <c r="EX26" i="1"/>
  <c r="EV26" i="1"/>
  <c r="DE26" i="1"/>
  <c r="DD26" i="1"/>
  <c r="IQ26" i="1"/>
  <c r="EY26" i="1"/>
  <c r="DG26" i="1"/>
  <c r="JB26" i="1"/>
  <c r="HU26" i="1"/>
  <c r="EY21" i="1"/>
  <c r="JB21" i="1"/>
  <c r="EV21" i="1"/>
  <c r="DE21" i="1"/>
  <c r="DD21" i="1"/>
  <c r="HU21" i="1"/>
  <c r="IQ21" i="1"/>
  <c r="EX21" i="1"/>
  <c r="DG21" i="1"/>
  <c r="V25" i="1"/>
  <c r="DF22" i="1"/>
  <c r="CT22" i="1"/>
  <c r="AX22" i="1"/>
  <c r="DA22" i="1" s="1"/>
  <c r="DK22" i="1"/>
  <c r="DN22" i="1" s="1"/>
  <c r="CZ17" i="1"/>
  <c r="IG23" i="1"/>
  <c r="BP23" i="1"/>
  <c r="BP15" i="1"/>
  <c r="IG15" i="1"/>
  <c r="BP10" i="1"/>
  <c r="IG10" i="1"/>
  <c r="S8" i="1"/>
  <c r="IG14" i="1"/>
  <c r="BP14" i="1"/>
  <c r="HZ10" i="1"/>
  <c r="FB10" i="1"/>
  <c r="BW9" i="1"/>
  <c r="BR9" i="1"/>
  <c r="EC9" i="1" s="1"/>
  <c r="HN9" i="1" s="1"/>
  <c r="BE32" i="1"/>
  <c r="BG32" i="1" s="1"/>
  <c r="BW27" i="1"/>
  <c r="DT27" i="1"/>
  <c r="BR27" i="1"/>
  <c r="EC27" i="1" s="1"/>
  <c r="HN27" i="1" s="1"/>
  <c r="EG27" i="1"/>
  <c r="IU27" i="1" s="1"/>
  <c r="EG13" i="1"/>
  <c r="IU13" i="1" s="1"/>
  <c r="EE13" i="1"/>
  <c r="BU13" i="1"/>
  <c r="BT13" i="1"/>
  <c r="BV13" i="1"/>
  <c r="EF13" i="1"/>
  <c r="JF13" i="1" s="1"/>
  <c r="BK35" i="1"/>
  <c r="BS35" i="1" s="1"/>
  <c r="ED35" i="1" s="1"/>
  <c r="BE35" i="1"/>
  <c r="BG35" i="1" s="1"/>
  <c r="BK19" i="1"/>
  <c r="BE19" i="1"/>
  <c r="BG19" i="1" s="1"/>
  <c r="BK33" i="1"/>
  <c r="BE33" i="1"/>
  <c r="BG33" i="1" s="1"/>
  <c r="DF34" i="1"/>
  <c r="CT34" i="1"/>
  <c r="AX34" i="1"/>
  <c r="DK34" i="1"/>
  <c r="DN34" i="1" s="1"/>
  <c r="DK33" i="1"/>
  <c r="DN33" i="1" s="1"/>
  <c r="CY29" i="1"/>
  <c r="BT28" i="1"/>
  <c r="EE28" i="1"/>
  <c r="BV28" i="1"/>
  <c r="EG28" i="1"/>
  <c r="IU28" i="1" s="1"/>
  <c r="BU28" i="1"/>
  <c r="BU26" i="1"/>
  <c r="EG26" i="1"/>
  <c r="IU26" i="1" s="1"/>
  <c r="EF26" i="1"/>
  <c r="JF26" i="1" s="1"/>
  <c r="V26" i="1"/>
  <c r="EE26" i="1"/>
  <c r="BV26" i="1"/>
  <c r="BT26" i="1"/>
  <c r="DQ21" i="1"/>
  <c r="BZ21" i="1"/>
  <c r="V23" i="1"/>
  <c r="CY22" i="1"/>
  <c r="AY22" i="1"/>
  <c r="DJ22" i="1" s="1"/>
  <c r="DM22" i="1" s="1"/>
  <c r="DP22" i="1" s="1"/>
  <c r="BA17" i="1"/>
  <c r="BV17" i="1" s="1"/>
  <c r="BK11" i="1"/>
  <c r="BE11" i="1"/>
  <c r="BG11" i="1" s="1"/>
  <c r="BA10" i="1"/>
  <c r="II8" i="1"/>
  <c r="DB30" i="1"/>
  <c r="ET30" i="1"/>
  <c r="ET21" i="1"/>
  <c r="DB21" i="1"/>
  <c r="BE12" i="1"/>
  <c r="BG12" i="1" s="1"/>
  <c r="BK12" i="1"/>
  <c r="IJ9" i="1"/>
  <c r="EN9" i="1"/>
  <c r="BO33" i="1"/>
  <c r="HK33" i="1"/>
  <c r="DA29" i="1"/>
  <c r="BN24" i="1"/>
  <c r="FL24" i="1"/>
  <c r="FH24" i="1"/>
  <c r="FJ24" i="1"/>
  <c r="BE30" i="1"/>
  <c r="BG30" i="1" s="1"/>
  <c r="BK30" i="1"/>
  <c r="FI30" i="1"/>
  <c r="DB24" i="1"/>
  <c r="ET24" i="1"/>
  <c r="BP22" i="1"/>
  <c r="IG22" i="1"/>
  <c r="BE25" i="1"/>
  <c r="BG25" i="1" s="1"/>
  <c r="BZ19" i="1"/>
  <c r="DQ19" i="1"/>
  <c r="DK20" i="1"/>
  <c r="DN20" i="1" s="1"/>
  <c r="AX20" i="1"/>
  <c r="CT20" i="1"/>
  <c r="DF20" i="1"/>
  <c r="BZ16" i="1"/>
  <c r="DQ16" i="1"/>
  <c r="CT15" i="1"/>
  <c r="AX15" i="1"/>
  <c r="DK15" i="1"/>
  <c r="DN15" i="1" s="1"/>
  <c r="AT15" i="1"/>
  <c r="AZ15" i="1" s="1"/>
  <c r="DF15" i="1"/>
  <c r="DS11" i="1"/>
  <c r="BX11" i="1"/>
  <c r="BW11" i="1"/>
  <c r="BS11" i="1"/>
  <c r="ED11" i="1" s="1"/>
  <c r="HY11" i="1" s="1"/>
  <c r="BR11" i="1"/>
  <c r="EC11" i="1" s="1"/>
  <c r="HN11" i="1" s="1"/>
  <c r="CZ11" i="1"/>
  <c r="HU7" i="1"/>
  <c r="IQ7" i="1"/>
  <c r="DE7" i="1"/>
  <c r="GF7" i="1"/>
  <c r="DD7" i="1"/>
  <c r="JB7" i="1"/>
  <c r="EY7" i="1"/>
  <c r="EV7" i="1"/>
  <c r="DG7" i="1"/>
  <c r="EX7" i="1"/>
  <c r="BK9" i="1"/>
  <c r="BS9" i="1" s="1"/>
  <c r="ED9" i="1" s="1"/>
  <c r="HY9" i="1" s="1"/>
  <c r="BE9" i="1"/>
  <c r="BG9" i="1" s="1"/>
  <c r="FD10" i="1"/>
  <c r="IV10" i="1"/>
  <c r="IG33" i="1"/>
  <c r="BP33" i="1"/>
  <c r="BE29" i="1"/>
  <c r="BG29" i="1" s="1"/>
  <c r="BK29" i="1"/>
  <c r="CT33" i="1"/>
  <c r="V28" i="1"/>
  <c r="BE31" i="1"/>
  <c r="BG31" i="1" s="1"/>
  <c r="BE20" i="1"/>
  <c r="BG20" i="1" s="1"/>
  <c r="BK20" i="1"/>
  <c r="AY20" i="1"/>
  <c r="CZ20" i="1" s="1"/>
  <c r="DA20" i="1"/>
  <c r="CY20" i="1"/>
  <c r="BK22" i="1"/>
  <c r="BE22" i="1"/>
  <c r="BG22" i="1" s="1"/>
  <c r="FI16" i="1"/>
  <c r="BE16" i="1"/>
  <c r="BG16" i="1" s="1"/>
  <c r="BK16" i="1"/>
  <c r="DD19" i="1"/>
  <c r="EY19" i="1"/>
  <c r="DG19" i="1"/>
  <c r="IQ19" i="1"/>
  <c r="EX19" i="1"/>
  <c r="EV19" i="1"/>
  <c r="HU19" i="1"/>
  <c r="JB19" i="1"/>
  <c r="DE19" i="1"/>
  <c r="BA24" i="1"/>
  <c r="HK14" i="1"/>
  <c r="BO14" i="1"/>
  <c r="CY11" i="1"/>
  <c r="CZ7" i="1"/>
  <c r="IJ11" i="1"/>
  <c r="EN11" i="1"/>
  <c r="DO24" i="1"/>
  <c r="FF24" i="1"/>
  <c r="BY24" i="1"/>
  <c r="EF33" i="1"/>
  <c r="JF33" i="1" s="1"/>
  <c r="EE33" i="1"/>
  <c r="BU33" i="1"/>
  <c r="V33" i="1"/>
  <c r="BT33" i="1"/>
  <c r="AX33" i="1"/>
  <c r="GF30" i="1"/>
  <c r="IQ30" i="1"/>
  <c r="DG30" i="1"/>
  <c r="DE30" i="1"/>
  <c r="EX30" i="1"/>
  <c r="JB30" i="1"/>
  <c r="EV30" i="1"/>
  <c r="EY30" i="1"/>
  <c r="HU30" i="1"/>
  <c r="ER30" i="1"/>
  <c r="IZ30" i="1" s="1"/>
  <c r="DD30" i="1"/>
  <c r="DF25" i="1"/>
  <c r="AX25" i="1"/>
  <c r="CT25" i="1"/>
  <c r="DK25" i="1"/>
  <c r="DN25" i="1" s="1"/>
  <c r="BK27" i="1"/>
  <c r="CT27" i="1"/>
  <c r="AX27" i="1"/>
  <c r="BX27" i="1" s="1"/>
  <c r="DK27" i="1"/>
  <c r="DN27" i="1" s="1"/>
  <c r="DF27" i="1"/>
  <c r="BA19" i="1"/>
  <c r="DJ30" i="1"/>
  <c r="DM30" i="1" s="1"/>
  <c r="DP30" i="1" s="1"/>
  <c r="DQ24" i="1"/>
  <c r="BZ24" i="1"/>
  <c r="V17" i="1"/>
  <c r="EE19" i="1"/>
  <c r="IQ12" i="1"/>
  <c r="EY12" i="1"/>
  <c r="EX12" i="1"/>
  <c r="DG12" i="1"/>
  <c r="EV12" i="1"/>
  <c r="DE12" i="1"/>
  <c r="DD12" i="1"/>
  <c r="JB12" i="1"/>
  <c r="HU12" i="1"/>
  <c r="BW14" i="1"/>
  <c r="DT14" i="1"/>
  <c r="BX14" i="1"/>
  <c r="BR14" i="1"/>
  <c r="EC14" i="1" s="1"/>
  <c r="HN14" i="1" s="1"/>
  <c r="BS14" i="1"/>
  <c r="ED14" i="1" s="1"/>
  <c r="HY14" i="1" s="1"/>
  <c r="CT14" i="1"/>
  <c r="DF14" i="1"/>
  <c r="AX14" i="1"/>
  <c r="DA14" i="1" s="1"/>
  <c r="DK14" i="1"/>
  <c r="DN14" i="1" s="1"/>
  <c r="S10" i="1"/>
  <c r="IG11" i="1"/>
  <c r="BP11" i="1"/>
  <c r="BT21" i="1"/>
  <c r="EE21" i="1"/>
  <c r="V21" i="1"/>
  <c r="S29" i="1"/>
  <c r="AX35" i="1"/>
  <c r="DK35" i="1"/>
  <c r="DN35" i="1" s="1"/>
  <c r="DQ35" i="1" s="1"/>
  <c r="CT35" i="1"/>
  <c r="DF35" i="1"/>
  <c r="AT35" i="1"/>
  <c r="AZ35" i="1" s="1"/>
  <c r="BA35" i="1" s="1"/>
  <c r="EG35" i="1" s="1"/>
  <c r="EE32" i="1"/>
  <c r="BU32" i="1"/>
  <c r="BT32" i="1"/>
  <c r="IG29" i="1"/>
  <c r="BP29" i="1"/>
  <c r="DQ30" i="1"/>
  <c r="BZ30" i="1"/>
  <c r="BE27" i="1"/>
  <c r="BG27" i="1" s="1"/>
  <c r="CY27" i="1"/>
  <c r="AY27" i="1"/>
  <c r="DJ27" i="1" s="1"/>
  <c r="DM27" i="1" s="1"/>
  <c r="EV29" i="1"/>
  <c r="IQ29" i="1"/>
  <c r="DG29" i="1"/>
  <c r="DD29" i="1"/>
  <c r="HU29" i="1"/>
  <c r="EX29" i="1"/>
  <c r="DE29" i="1"/>
  <c r="JB29" i="1"/>
  <c r="EY29" i="1"/>
  <c r="V19" i="1"/>
  <c r="ET18" i="1"/>
  <c r="EH18" i="1"/>
  <c r="HH18" i="1" s="1"/>
  <c r="DB18" i="1"/>
  <c r="DI18" i="1"/>
  <c r="DL18" i="1" s="1"/>
  <c r="JG18" i="1"/>
  <c r="FE18" i="1"/>
  <c r="V16" i="1"/>
  <c r="HU24" i="1"/>
  <c r="IQ24" i="1"/>
  <c r="EY24" i="1"/>
  <c r="DE24" i="1"/>
  <c r="EX24" i="1"/>
  <c r="DD24" i="1"/>
  <c r="JB24" i="1"/>
  <c r="DG24" i="1"/>
  <c r="EV24" i="1"/>
  <c r="S24" i="1"/>
  <c r="EV16" i="1"/>
  <c r="HU16" i="1"/>
  <c r="EY16" i="1"/>
  <c r="DG16" i="1"/>
  <c r="DE16" i="1"/>
  <c r="JB16" i="1"/>
  <c r="DD16" i="1"/>
  <c r="IQ16" i="1"/>
  <c r="EX16" i="1"/>
  <c r="DQ12" i="1"/>
  <c r="BZ12" i="1"/>
  <c r="DJ14" i="1"/>
  <c r="DM14" i="1" s="1"/>
  <c r="DP14" i="1" s="1"/>
  <c r="CZ14" i="1"/>
  <c r="CY14" i="1"/>
  <c r="AY14" i="1"/>
  <c r="BK8" i="1"/>
  <c r="BE8" i="1"/>
  <c r="BG8" i="1" s="1"/>
  <c r="FI8" i="1"/>
  <c r="EE15" i="1"/>
  <c r="BT15" i="1"/>
  <c r="V15" i="1"/>
  <c r="BK13" i="1"/>
  <c r="BE13" i="1"/>
  <c r="BG13" i="1" s="1"/>
  <c r="DI30" i="1"/>
  <c r="DL30" i="1" s="1"/>
  <c r="AT25" i="1"/>
  <c r="AZ25" i="1" s="1"/>
  <c r="BK25" i="1" s="1"/>
  <c r="ET16" i="1"/>
  <c r="EH16" i="1"/>
  <c r="HH16" i="1" s="1"/>
  <c r="DB16" i="1"/>
  <c r="EI16" i="1"/>
  <c r="HI16" i="1" s="1"/>
  <c r="EJ18" i="1"/>
  <c r="EK18" i="1" s="1"/>
  <c r="DC18" i="1"/>
  <c r="FG18" i="1" s="1"/>
  <c r="GP18" i="1" s="1"/>
  <c r="GS18" i="1" s="1"/>
  <c r="EU18" i="1"/>
  <c r="FA18" i="1" s="1"/>
  <c r="DQ18" i="1"/>
  <c r="BZ18" i="1"/>
  <c r="CZ19" i="1"/>
  <c r="DA24" i="1"/>
  <c r="DJ24" i="1"/>
  <c r="DM24" i="1" s="1"/>
  <c r="DP24" i="1" s="1"/>
  <c r="BK17" i="1"/>
  <c r="BE17" i="1"/>
  <c r="BG17" i="1" s="1"/>
  <c r="S22" i="1"/>
  <c r="IJ14" i="1"/>
  <c r="EN14" i="1"/>
  <c r="DK11" i="1"/>
  <c r="DN11" i="1" s="1"/>
  <c r="DT11" i="1" s="1"/>
  <c r="CT11" i="1"/>
  <c r="AX11" i="1"/>
  <c r="DJ11" i="1" s="1"/>
  <c r="DM11" i="1" s="1"/>
  <c r="DP11" i="1" s="1"/>
  <c r="DF11" i="1"/>
  <c r="DQ10" i="1"/>
  <c r="BZ10" i="1"/>
  <c r="BE10" i="1"/>
  <c r="BG10" i="1" s="1"/>
  <c r="BK10" i="1"/>
  <c r="BZ31" i="1"/>
  <c r="DQ31" i="1"/>
  <c r="EU16" i="1"/>
  <c r="FA16" i="1" s="1"/>
  <c r="DC16" i="1"/>
  <c r="FG16" i="1" s="1"/>
  <c r="ET13" i="1"/>
  <c r="EH13" i="1"/>
  <c r="HH13" i="1" s="1"/>
  <c r="DI13" i="1"/>
  <c r="DL13" i="1" s="1"/>
  <c r="DB13" i="1"/>
  <c r="EG7" i="1"/>
  <c r="IU7" i="1" s="1"/>
  <c r="EF7" i="1"/>
  <c r="JF7" i="1" s="1"/>
  <c r="EE7" i="1"/>
  <c r="BU7" i="1"/>
  <c r="BT7" i="1"/>
  <c r="BV7" i="1"/>
  <c r="V7" i="1"/>
  <c r="BW32" i="1"/>
  <c r="DT32" i="1"/>
  <c r="BR32" i="1"/>
  <c r="EC32" i="1" s="1"/>
  <c r="HN32" i="1" s="1"/>
  <c r="BX32" i="1"/>
  <c r="DQ26" i="1"/>
  <c r="BZ26" i="1"/>
  <c r="BV27" i="1"/>
  <c r="BE7" i="1"/>
  <c r="BG7" i="1" s="1"/>
  <c r="BK7" i="1"/>
  <c r="CT32" i="1"/>
  <c r="DF32" i="1"/>
  <c r="DK32" i="1"/>
  <c r="DN32" i="1" s="1"/>
  <c r="AX32" i="1"/>
  <c r="DJ32" i="1" s="1"/>
  <c r="DM32" i="1" s="1"/>
  <c r="AT32" i="1"/>
  <c r="AZ32" i="1" s="1"/>
  <c r="BA32" i="1" s="1"/>
  <c r="EG32" i="1" s="1"/>
  <c r="IU32" i="1" s="1"/>
  <c r="IG28" i="1"/>
  <c r="BP28" i="1"/>
  <c r="IJ27" i="1"/>
  <c r="EN27" i="1"/>
  <c r="IG18" i="1"/>
  <c r="BP18" i="1"/>
  <c r="BT12" i="1"/>
  <c r="BV12" i="1"/>
  <c r="EF12" i="1"/>
  <c r="JF12" i="1" s="1"/>
  <c r="EE12" i="1"/>
  <c r="EG12" i="1"/>
  <c r="IU12" i="1" s="1"/>
  <c r="BU12" i="1"/>
  <c r="V12" i="1"/>
  <c r="BA33" i="1"/>
  <c r="EG33" i="1" s="1"/>
  <c r="IU33" i="1" s="1"/>
  <c r="IV31" i="1"/>
  <c r="FD31" i="1"/>
  <c r="CZ28" i="1"/>
  <c r="CY28" i="1"/>
  <c r="AY28" i="1"/>
  <c r="DA28" i="1" s="1"/>
  <c r="FB18" i="1"/>
  <c r="HZ18" i="1"/>
  <c r="DA31" i="1"/>
  <c r="CY31" i="1"/>
  <c r="DJ29" i="1"/>
  <c r="DM29" i="1" s="1"/>
  <c r="DP29" i="1" s="1"/>
  <c r="JG31" i="1"/>
  <c r="FE31" i="1"/>
  <c r="HK29" i="1"/>
  <c r="BO29" i="1"/>
  <c r="AX28" i="1"/>
  <c r="DJ28" i="1" s="1"/>
  <c r="DM28" i="1" s="1"/>
  <c r="DP28" i="1" s="1"/>
  <c r="DK28" i="1"/>
  <c r="DN28" i="1" s="1"/>
  <c r="DF28" i="1"/>
  <c r="CT28" i="1"/>
  <c r="FI24" i="1"/>
  <c r="JB17" i="1"/>
  <c r="GF17" i="1"/>
  <c r="HU17" i="1"/>
  <c r="EX17" i="1"/>
  <c r="EV17" i="1"/>
  <c r="ER17" i="1"/>
  <c r="IZ17" i="1" s="1"/>
  <c r="EP17" i="1"/>
  <c r="IO17" i="1" s="1"/>
  <c r="EY17" i="1"/>
  <c r="DD17" i="1"/>
  <c r="DG17" i="1"/>
  <c r="DE17" i="1"/>
  <c r="EM17" i="1"/>
  <c r="HT17" i="1" s="1"/>
  <c r="EL17" i="1"/>
  <c r="HS17" i="1" s="1"/>
  <c r="IQ17" i="1"/>
  <c r="BZ17" i="1"/>
  <c r="DQ17" i="1"/>
  <c r="BO24" i="1"/>
  <c r="HK24" i="1"/>
  <c r="BA21" i="1"/>
  <c r="BU21" i="1" s="1"/>
  <c r="IV18" i="1"/>
  <c r="FD18" i="1"/>
  <c r="BA22" i="1"/>
  <c r="EG14" i="1"/>
  <c r="IU14" i="1" s="1"/>
  <c r="BA16" i="1"/>
  <c r="BU16" i="1" s="1"/>
  <c r="HK10" i="1"/>
  <c r="BO10" i="1"/>
  <c r="DQ7" i="1"/>
  <c r="BZ7" i="1"/>
  <c r="AX9" i="1"/>
  <c r="BX9" i="1" s="1"/>
  <c r="CT9" i="1"/>
  <c r="DF9" i="1"/>
  <c r="DK9" i="1"/>
  <c r="DN9" i="1" s="1"/>
  <c r="V13" i="1"/>
  <c r="DP32" i="1" l="1"/>
  <c r="DS32" i="1"/>
  <c r="EU28" i="1"/>
  <c r="FA28" i="1" s="1"/>
  <c r="DC28" i="1"/>
  <c r="FG28" i="1" s="1"/>
  <c r="EJ28" i="1"/>
  <c r="EK28" i="1" s="1"/>
  <c r="GE24" i="1"/>
  <c r="BN25" i="1"/>
  <c r="FH25" i="1"/>
  <c r="FJ25" i="1"/>
  <c r="FL25" i="1"/>
  <c r="EJ22" i="1"/>
  <c r="EK22" i="1" s="1"/>
  <c r="DC22" i="1"/>
  <c r="FG22" i="1" s="1"/>
  <c r="EU22" i="1"/>
  <c r="FA22" i="1" s="1"/>
  <c r="DB20" i="1"/>
  <c r="ET20" i="1"/>
  <c r="EH20" i="1"/>
  <c r="HH20" i="1" s="1"/>
  <c r="DI20" i="1"/>
  <c r="DL20" i="1" s="1"/>
  <c r="EJ14" i="1"/>
  <c r="EU14" i="1"/>
  <c r="FA14" i="1" s="1"/>
  <c r="EK14" i="1"/>
  <c r="DC14" i="1"/>
  <c r="FG14" i="1" s="1"/>
  <c r="GP14" i="1" s="1"/>
  <c r="GS14" i="1" s="1"/>
  <c r="FQ11" i="1"/>
  <c r="IA11" i="1" s="1"/>
  <c r="FT11" i="1"/>
  <c r="DP27" i="1"/>
  <c r="DS27" i="1"/>
  <c r="DC10" i="1"/>
  <c r="FG10" i="1" s="1"/>
  <c r="EK10" i="1"/>
  <c r="EJ10" i="1"/>
  <c r="EU10" i="1"/>
  <c r="FA10" i="1" s="1"/>
  <c r="EN7" i="1"/>
  <c r="IJ7" i="1"/>
  <c r="DQ20" i="1"/>
  <c r="BZ20" i="1"/>
  <c r="IV21" i="1"/>
  <c r="FD21" i="1"/>
  <c r="FT14" i="1"/>
  <c r="FQ14" i="1"/>
  <c r="IA14" i="1" s="1"/>
  <c r="DA25" i="1"/>
  <c r="CZ25" i="1"/>
  <c r="DJ25" i="1"/>
  <c r="DM25" i="1" s="1"/>
  <c r="DP25" i="1" s="1"/>
  <c r="DJ34" i="1"/>
  <c r="DM34" i="1" s="1"/>
  <c r="DA34" i="1"/>
  <c r="CZ34" i="1"/>
  <c r="BY12" i="1"/>
  <c r="DO12" i="1"/>
  <c r="FK12" i="1"/>
  <c r="FF12" i="1"/>
  <c r="FL10" i="1"/>
  <c r="FJ10" i="1"/>
  <c r="BN10" i="1"/>
  <c r="FH10" i="1"/>
  <c r="DT15" i="1"/>
  <c r="DS15" i="1"/>
  <c r="BW15" i="1"/>
  <c r="BX15" i="1"/>
  <c r="BR15" i="1"/>
  <c r="EC15" i="1" s="1"/>
  <c r="HN15" i="1" s="1"/>
  <c r="BV24" i="1"/>
  <c r="V24" i="1"/>
  <c r="EG24" i="1"/>
  <c r="EF24" i="1"/>
  <c r="EE24" i="1"/>
  <c r="BU24" i="1"/>
  <c r="BT24" i="1"/>
  <c r="BW33" i="1"/>
  <c r="BS33" i="1"/>
  <c r="ED33" i="1" s="1"/>
  <c r="HY33" i="1" s="1"/>
  <c r="DT33" i="1"/>
  <c r="BX33" i="1"/>
  <c r="BR33" i="1"/>
  <c r="EC33" i="1" s="1"/>
  <c r="HN33" i="1" s="1"/>
  <c r="DJ20" i="1"/>
  <c r="DM20" i="1" s="1"/>
  <c r="DP20" i="1" s="1"/>
  <c r="FJ30" i="1"/>
  <c r="BN30" i="1"/>
  <c r="FL30" i="1"/>
  <c r="FH30" i="1"/>
  <c r="FL12" i="1"/>
  <c r="FH12" i="1"/>
  <c r="BN12" i="1"/>
  <c r="FJ12" i="1"/>
  <c r="EV34" i="1"/>
  <c r="FB34" i="1" s="1"/>
  <c r="DG34" i="1"/>
  <c r="ES34" i="1"/>
  <c r="DD34" i="1"/>
  <c r="EQ34" i="1"/>
  <c r="FY34" i="1"/>
  <c r="EY34" i="1"/>
  <c r="FE34" i="1" s="1"/>
  <c r="ER34" i="1"/>
  <c r="EP34" i="1"/>
  <c r="EX34" i="1"/>
  <c r="FD34" i="1" s="1"/>
  <c r="DE34" i="1"/>
  <c r="EL34" i="1"/>
  <c r="EM34" i="1" s="1"/>
  <c r="GF34" i="1"/>
  <c r="GN34" i="1" s="1"/>
  <c r="FE26" i="1"/>
  <c r="JG26" i="1"/>
  <c r="EL26" i="1"/>
  <c r="DB10" i="1"/>
  <c r="ET10" i="1"/>
  <c r="DI10" i="1"/>
  <c r="DL10" i="1" s="1"/>
  <c r="IJ17" i="1"/>
  <c r="EN17" i="1"/>
  <c r="BU23" i="1"/>
  <c r="DT20" i="1"/>
  <c r="DS20" i="1"/>
  <c r="BR20" i="1"/>
  <c r="EC20" i="1" s="1"/>
  <c r="HN20" i="1" s="1"/>
  <c r="BW20" i="1"/>
  <c r="BS20" i="1"/>
  <c r="ED20" i="1" s="1"/>
  <c r="HY20" i="1" s="1"/>
  <c r="BX20" i="1"/>
  <c r="EZ12" i="1"/>
  <c r="HO12" i="1"/>
  <c r="DB7" i="1"/>
  <c r="EI7" i="1"/>
  <c r="HI7" i="1" s="1"/>
  <c r="ET7" i="1"/>
  <c r="EH7" i="1"/>
  <c r="HH7" i="1" s="1"/>
  <c r="DI7" i="1"/>
  <c r="DL7" i="1" s="1"/>
  <c r="FQ27" i="1"/>
  <c r="IA27" i="1" s="1"/>
  <c r="FT27" i="1"/>
  <c r="FO18" i="1"/>
  <c r="HP18" i="1" s="1"/>
  <c r="FR18" i="1"/>
  <c r="IV24" i="1"/>
  <c r="FD24" i="1"/>
  <c r="DO18" i="1"/>
  <c r="BY18" i="1"/>
  <c r="FK18" i="1"/>
  <c r="FF18" i="1"/>
  <c r="DJ35" i="1"/>
  <c r="DM35" i="1" s="1"/>
  <c r="CZ35" i="1"/>
  <c r="DA35" i="1"/>
  <c r="EG10" i="1"/>
  <c r="EE10" i="1"/>
  <c r="BT10" i="1"/>
  <c r="EF10" i="1"/>
  <c r="BV10" i="1"/>
  <c r="BU10" i="1"/>
  <c r="V10" i="1"/>
  <c r="IV30" i="1"/>
  <c r="FD30" i="1"/>
  <c r="FH20" i="1"/>
  <c r="FJ20" i="1"/>
  <c r="BN20" i="1"/>
  <c r="FL20" i="1"/>
  <c r="BK15" i="1"/>
  <c r="BA15" i="1"/>
  <c r="CZ22" i="1"/>
  <c r="BA25" i="1"/>
  <c r="FD26" i="1"/>
  <c r="IV26" i="1"/>
  <c r="FB8" i="1"/>
  <c r="HZ8" i="1"/>
  <c r="EL13" i="1"/>
  <c r="DQ23" i="1"/>
  <c r="BZ23" i="1"/>
  <c r="IJ23" i="1"/>
  <c r="EN23" i="1"/>
  <c r="EN20" i="1"/>
  <c r="IJ20" i="1"/>
  <c r="HZ16" i="1"/>
  <c r="FB16" i="1"/>
  <c r="EJ20" i="1"/>
  <c r="EK20" i="1" s="1"/>
  <c r="EU20" i="1"/>
  <c r="FA20" i="1" s="1"/>
  <c r="DC20" i="1"/>
  <c r="FG20" i="1" s="1"/>
  <c r="GP20" i="1" s="1"/>
  <c r="GS20" i="1" s="1"/>
  <c r="BZ34" i="1"/>
  <c r="DQ34" i="1"/>
  <c r="FB21" i="1"/>
  <c r="HZ21" i="1"/>
  <c r="IV13" i="1"/>
  <c r="FD13" i="1"/>
  <c r="JG17" i="1"/>
  <c r="FE17" i="1"/>
  <c r="ET14" i="1"/>
  <c r="EH14" i="1"/>
  <c r="HH14" i="1" s="1"/>
  <c r="DB14" i="1"/>
  <c r="EI14" i="1"/>
  <c r="HI14" i="1" s="1"/>
  <c r="DI14" i="1"/>
  <c r="DL14" i="1" s="1"/>
  <c r="BS17" i="1"/>
  <c r="ED17" i="1" s="1"/>
  <c r="HY17" i="1" s="1"/>
  <c r="BX17" i="1"/>
  <c r="BW17" i="1"/>
  <c r="DS17" i="1"/>
  <c r="DT17" i="1"/>
  <c r="BR17" i="1"/>
  <c r="EC17" i="1" s="1"/>
  <c r="HN17" i="1" s="1"/>
  <c r="HZ7" i="1"/>
  <c r="FB7" i="1"/>
  <c r="DR31" i="1"/>
  <c r="BS31" i="1"/>
  <c r="ED31" i="1" s="1"/>
  <c r="HY31" i="1" s="1"/>
  <c r="BX31" i="1"/>
  <c r="DT31" i="1"/>
  <c r="BR31" i="1"/>
  <c r="EC31" i="1" s="1"/>
  <c r="HN31" i="1" s="1"/>
  <c r="BW31" i="1"/>
  <c r="DS31" i="1"/>
  <c r="FE13" i="1"/>
  <c r="JG13" i="1"/>
  <c r="IU18" i="1"/>
  <c r="EP18" i="1"/>
  <c r="EL18" i="1"/>
  <c r="FH34" i="1"/>
  <c r="FL34" i="1"/>
  <c r="BN34" i="1"/>
  <c r="FJ34" i="1"/>
  <c r="IJ12" i="1"/>
  <c r="EN12" i="1"/>
  <c r="DQ28" i="1"/>
  <c r="BZ28" i="1"/>
  <c r="EI13" i="1"/>
  <c r="HI13" i="1" s="1"/>
  <c r="BZ32" i="1"/>
  <c r="DQ32" i="1"/>
  <c r="BN17" i="1"/>
  <c r="FL17" i="1"/>
  <c r="FJ17" i="1"/>
  <c r="FH17" i="1"/>
  <c r="JG16" i="1"/>
  <c r="FE16" i="1"/>
  <c r="EI18" i="1"/>
  <c r="HI18" i="1" s="1"/>
  <c r="FB29" i="1"/>
  <c r="HZ29" i="1"/>
  <c r="BU29" i="1"/>
  <c r="BT29" i="1"/>
  <c r="EG29" i="1"/>
  <c r="EF29" i="1"/>
  <c r="EE29" i="1"/>
  <c r="BV29" i="1"/>
  <c r="V29" i="1"/>
  <c r="BZ14" i="1"/>
  <c r="DQ14" i="1"/>
  <c r="ER12" i="1"/>
  <c r="HZ12" i="1"/>
  <c r="FB12" i="1"/>
  <c r="EL30" i="1"/>
  <c r="BV33" i="1"/>
  <c r="FB19" i="1"/>
  <c r="HZ19" i="1"/>
  <c r="BN16" i="1"/>
  <c r="FH16" i="1"/>
  <c r="FJ16" i="1"/>
  <c r="FL16" i="1"/>
  <c r="FE7" i="1"/>
  <c r="JG7" i="1"/>
  <c r="BZ15" i="1"/>
  <c r="DQ15" i="1"/>
  <c r="FI12" i="1"/>
  <c r="ET17" i="1"/>
  <c r="EH17" i="1"/>
  <c r="HH17" i="1" s="1"/>
  <c r="DB17" i="1"/>
  <c r="DI17" i="1"/>
  <c r="DL17" i="1" s="1"/>
  <c r="FJ26" i="1"/>
  <c r="FH26" i="1"/>
  <c r="FL26" i="1"/>
  <c r="BN26" i="1"/>
  <c r="DT35" i="1"/>
  <c r="EN31" i="1"/>
  <c r="IJ31" i="1"/>
  <c r="DJ10" i="1"/>
  <c r="DM10" i="1" s="1"/>
  <c r="DP10" i="1" s="1"/>
  <c r="HU23" i="1"/>
  <c r="FW23" i="1"/>
  <c r="GA23" i="1" s="1"/>
  <c r="GC23" i="1"/>
  <c r="GK23" i="1" s="1"/>
  <c r="IB23" i="1" s="1"/>
  <c r="EY23" i="1"/>
  <c r="EX23" i="1"/>
  <c r="EL23" i="1"/>
  <c r="HS23" i="1" s="1"/>
  <c r="DD23" i="1"/>
  <c r="IQ23" i="1"/>
  <c r="GE23" i="1"/>
  <c r="JB23" i="1"/>
  <c r="EV23" i="1"/>
  <c r="DG23" i="1"/>
  <c r="EP23" i="1"/>
  <c r="IO23" i="1" s="1"/>
  <c r="DE23" i="1"/>
  <c r="EQ23" i="1"/>
  <c r="IP23" i="1" s="1"/>
  <c r="EH12" i="1"/>
  <c r="EH31" i="1"/>
  <c r="JB25" i="1"/>
  <c r="DD25" i="1"/>
  <c r="DG25" i="1"/>
  <c r="IQ25" i="1"/>
  <c r="DE25" i="1"/>
  <c r="HU25" i="1"/>
  <c r="EY25" i="1"/>
  <c r="GC25" i="1"/>
  <c r="GK25" i="1" s="1"/>
  <c r="IB25" i="1" s="1"/>
  <c r="EX25" i="1"/>
  <c r="EV25" i="1"/>
  <c r="ER28" i="1"/>
  <c r="IZ28" i="1" s="1"/>
  <c r="DD28" i="1"/>
  <c r="IQ28" i="1"/>
  <c r="JB28" i="1"/>
  <c r="EX28" i="1"/>
  <c r="DG28" i="1"/>
  <c r="EV28" i="1"/>
  <c r="DE28" i="1"/>
  <c r="GF28" i="1"/>
  <c r="EP28" i="1"/>
  <c r="IO28" i="1" s="1"/>
  <c r="EL28" i="1"/>
  <c r="HS28" i="1" s="1"/>
  <c r="FV28" i="1"/>
  <c r="HU28" i="1"/>
  <c r="EY28" i="1"/>
  <c r="HZ30" i="1"/>
  <c r="FB30" i="1"/>
  <c r="FS11" i="1"/>
  <c r="FP11" i="1"/>
  <c r="DO31" i="1"/>
  <c r="BY31" i="1"/>
  <c r="FK31" i="1"/>
  <c r="FF31" i="1"/>
  <c r="ES17" i="1"/>
  <c r="JA17" i="1" s="1"/>
  <c r="DO13" i="1"/>
  <c r="BY13" i="1"/>
  <c r="FK13" i="1"/>
  <c r="FF13" i="1"/>
  <c r="HO16" i="1"/>
  <c r="EZ16" i="1"/>
  <c r="EN15" i="1"/>
  <c r="IJ15" i="1"/>
  <c r="FD16" i="1"/>
  <c r="IV16" i="1"/>
  <c r="HZ24" i="1"/>
  <c r="FB24" i="1"/>
  <c r="BX21" i="1"/>
  <c r="BS21" i="1"/>
  <c r="ED21" i="1" s="1"/>
  <c r="DS21" i="1"/>
  <c r="DR21" i="1"/>
  <c r="BW21" i="1"/>
  <c r="BR21" i="1"/>
  <c r="EC21" i="1" s="1"/>
  <c r="HN21" i="1" s="1"/>
  <c r="DT21" i="1"/>
  <c r="EF19" i="1"/>
  <c r="EG19" i="1"/>
  <c r="BV19" i="1"/>
  <c r="BU19" i="1"/>
  <c r="EN33" i="1"/>
  <c r="IJ33" i="1"/>
  <c r="FD19" i="1"/>
  <c r="IV19" i="1"/>
  <c r="EP7" i="1"/>
  <c r="DA15" i="1"/>
  <c r="CZ15" i="1"/>
  <c r="DJ15" i="1"/>
  <c r="DM15" i="1" s="1"/>
  <c r="DP15" i="1" s="1"/>
  <c r="HX24" i="1"/>
  <c r="HD24" i="1"/>
  <c r="DV24" i="1"/>
  <c r="BS23" i="1"/>
  <c r="ED23" i="1" s="1"/>
  <c r="HY23" i="1" s="1"/>
  <c r="BR23" i="1"/>
  <c r="EC23" i="1" s="1"/>
  <c r="HN23" i="1" s="1"/>
  <c r="DT23" i="1"/>
  <c r="BW23" i="1"/>
  <c r="BX23" i="1"/>
  <c r="BN33" i="1"/>
  <c r="FH33" i="1"/>
  <c r="FJ33" i="1"/>
  <c r="FL33" i="1"/>
  <c r="EN13" i="1"/>
  <c r="IJ13" i="1"/>
  <c r="BK32" i="1"/>
  <c r="BZ22" i="1"/>
  <c r="DQ22" i="1"/>
  <c r="JG21" i="1"/>
  <c r="FE21" i="1"/>
  <c r="IJ25" i="1"/>
  <c r="EN25" i="1"/>
  <c r="JF31" i="1"/>
  <c r="ER31" i="1"/>
  <c r="GF31" i="1"/>
  <c r="FD8" i="1"/>
  <c r="IV8" i="1"/>
  <c r="HZ13" i="1"/>
  <c r="FB13" i="1"/>
  <c r="DA23" i="1"/>
  <c r="DJ23" i="1"/>
  <c r="DM23" i="1" s="1"/>
  <c r="DP23" i="1" s="1"/>
  <c r="CZ23" i="1"/>
  <c r="DA32" i="1"/>
  <c r="EF23" i="1"/>
  <c r="JF23" i="1" s="1"/>
  <c r="EZ31" i="1"/>
  <c r="HO31" i="1"/>
  <c r="JF18" i="1"/>
  <c r="ER18" i="1"/>
  <c r="GF18" i="1"/>
  <c r="EX32" i="1"/>
  <c r="EL32" i="1"/>
  <c r="HS32" i="1" s="1"/>
  <c r="EV32" i="1"/>
  <c r="JB32" i="1"/>
  <c r="EP32" i="1"/>
  <c r="IO32" i="1" s="1"/>
  <c r="HU32" i="1"/>
  <c r="ER32" i="1"/>
  <c r="IZ32" i="1" s="1"/>
  <c r="DD32" i="1"/>
  <c r="EY32" i="1"/>
  <c r="IQ32" i="1"/>
  <c r="EM32" i="1"/>
  <c r="HT32" i="1" s="1"/>
  <c r="DG32" i="1"/>
  <c r="DE32" i="1"/>
  <c r="EJ31" i="1"/>
  <c r="EK31" i="1" s="1"/>
  <c r="EU31" i="1"/>
  <c r="FA31" i="1" s="1"/>
  <c r="DC31" i="1"/>
  <c r="FG31" i="1" s="1"/>
  <c r="GP31" i="1" s="1"/>
  <c r="GS31" i="1" s="1"/>
  <c r="HB7" i="1"/>
  <c r="JD7" i="1" s="1"/>
  <c r="JH7" i="1"/>
  <c r="GN7" i="1"/>
  <c r="JI7" i="1" s="1"/>
  <c r="FT32" i="1"/>
  <c r="FQ32" i="1"/>
  <c r="IA32" i="1" s="1"/>
  <c r="EN21" i="1"/>
  <c r="IJ21" i="1"/>
  <c r="BZ9" i="1"/>
  <c r="DQ9" i="1"/>
  <c r="IV17" i="1"/>
  <c r="FD17" i="1"/>
  <c r="HO13" i="1"/>
  <c r="EZ13" i="1"/>
  <c r="DB19" i="1"/>
  <c r="EH19" i="1"/>
  <c r="HH19" i="1" s="1"/>
  <c r="ET19" i="1"/>
  <c r="DI19" i="1"/>
  <c r="DL19" i="1" s="1"/>
  <c r="BY30" i="1"/>
  <c r="DO30" i="1"/>
  <c r="FK30" i="1"/>
  <c r="FF30" i="1"/>
  <c r="JG24" i="1"/>
  <c r="FE24" i="1"/>
  <c r="EZ18" i="1"/>
  <c r="HO18" i="1"/>
  <c r="CZ27" i="1"/>
  <c r="EN32" i="1"/>
  <c r="IJ32" i="1"/>
  <c r="EF21" i="1"/>
  <c r="EX14" i="1"/>
  <c r="EL14" i="1"/>
  <c r="HS14" i="1" s="1"/>
  <c r="FV14" i="1"/>
  <c r="EV14" i="1"/>
  <c r="ER14" i="1"/>
  <c r="IZ14" i="1" s="1"/>
  <c r="EP14" i="1"/>
  <c r="IO14" i="1" s="1"/>
  <c r="IQ14" i="1"/>
  <c r="DG14" i="1"/>
  <c r="GF14" i="1"/>
  <c r="JB14" i="1"/>
  <c r="HU14" i="1"/>
  <c r="GE14" i="1"/>
  <c r="EY14" i="1"/>
  <c r="DE14" i="1"/>
  <c r="DD14" i="1"/>
  <c r="EL12" i="1"/>
  <c r="BZ27" i="1"/>
  <c r="DQ27" i="1"/>
  <c r="ES30" i="1"/>
  <c r="JA30" i="1" s="1"/>
  <c r="DT28" i="1"/>
  <c r="BR28" i="1"/>
  <c r="EC28" i="1" s="1"/>
  <c r="HN28" i="1" s="1"/>
  <c r="BW28" i="1"/>
  <c r="DS28" i="1"/>
  <c r="BS28" i="1"/>
  <c r="ED28" i="1" s="1"/>
  <c r="HY28" i="1" s="1"/>
  <c r="BX28" i="1"/>
  <c r="HV24" i="1"/>
  <c r="JC24" i="1"/>
  <c r="IR24" i="1"/>
  <c r="GW24" i="1"/>
  <c r="BQ24" i="1"/>
  <c r="EH21" i="1"/>
  <c r="DA11" i="1"/>
  <c r="IJ28" i="1"/>
  <c r="EN28" i="1"/>
  <c r="DD22" i="1"/>
  <c r="EY22" i="1"/>
  <c r="EL22" i="1"/>
  <c r="HS22" i="1" s="1"/>
  <c r="EP22" i="1"/>
  <c r="IO22" i="1" s="1"/>
  <c r="DG22" i="1"/>
  <c r="DE22" i="1"/>
  <c r="IQ22" i="1"/>
  <c r="EX22" i="1"/>
  <c r="HU22" i="1"/>
  <c r="EV22" i="1"/>
  <c r="JB22" i="1"/>
  <c r="EM22" i="1"/>
  <c r="HT22" i="1" s="1"/>
  <c r="IU31" i="1"/>
  <c r="EP31" i="1"/>
  <c r="EL31" i="1"/>
  <c r="BN18" i="1"/>
  <c r="FJ18" i="1"/>
  <c r="FL18" i="1"/>
  <c r="FH18" i="1"/>
  <c r="BV16" i="1"/>
  <c r="GP21" i="1"/>
  <c r="GS21" i="1" s="1"/>
  <c r="BX34" i="1"/>
  <c r="GP7" i="1"/>
  <c r="GS7" i="1" s="1"/>
  <c r="EN30" i="1"/>
  <c r="IJ30" i="1"/>
  <c r="FL23" i="1"/>
  <c r="FH23" i="1"/>
  <c r="FY23" i="1" s="1"/>
  <c r="BN23" i="1"/>
  <c r="FJ23" i="1"/>
  <c r="GP19" i="1"/>
  <c r="GS19" i="1" s="1"/>
  <c r="JG19" i="1"/>
  <c r="FE19" i="1"/>
  <c r="FL35" i="1"/>
  <c r="FJ35" i="1"/>
  <c r="FH35" i="1"/>
  <c r="BN35" i="1"/>
  <c r="EF22" i="1"/>
  <c r="JF22" i="1" s="1"/>
  <c r="BV22" i="1"/>
  <c r="EG22" i="1"/>
  <c r="IU22" i="1" s="1"/>
  <c r="EE22" i="1"/>
  <c r="BU22" i="1"/>
  <c r="BT22" i="1"/>
  <c r="V22" i="1"/>
  <c r="BR13" i="1"/>
  <c r="EC13" i="1" s="1"/>
  <c r="HN13" i="1" s="1"/>
  <c r="BS13" i="1"/>
  <c r="ED13" i="1" s="1"/>
  <c r="HY13" i="1" s="1"/>
  <c r="BW13" i="1"/>
  <c r="BX13" i="1"/>
  <c r="DR13" i="1"/>
  <c r="DT13" i="1"/>
  <c r="DS13" i="1"/>
  <c r="FB17" i="1"/>
  <c r="HZ17" i="1"/>
  <c r="IV12" i="1"/>
  <c r="FD12" i="1"/>
  <c r="EZ21" i="1"/>
  <c r="HO21" i="1"/>
  <c r="BN7" i="1"/>
  <c r="FL7" i="1"/>
  <c r="FH7" i="1"/>
  <c r="FJ7" i="1"/>
  <c r="BR7" i="1"/>
  <c r="EC7" i="1" s="1"/>
  <c r="HN7" i="1" s="1"/>
  <c r="DS7" i="1"/>
  <c r="BX7" i="1"/>
  <c r="DT7" i="1"/>
  <c r="BW7" i="1"/>
  <c r="BS7" i="1"/>
  <c r="ED7" i="1" s="1"/>
  <c r="HY7" i="1" s="1"/>
  <c r="BX19" i="1"/>
  <c r="DT19" i="1"/>
  <c r="DR19" i="1"/>
  <c r="BW19" i="1"/>
  <c r="BR19" i="1"/>
  <c r="EC19" i="1" s="1"/>
  <c r="HN19" i="1" s="1"/>
  <c r="DS19" i="1"/>
  <c r="BS19" i="1"/>
  <c r="ED19" i="1" s="1"/>
  <c r="HY19" i="1" s="1"/>
  <c r="DA27" i="1"/>
  <c r="EF32" i="1"/>
  <c r="JF32" i="1" s="1"/>
  <c r="EG21" i="1"/>
  <c r="JG12" i="1"/>
  <c r="FE12" i="1"/>
  <c r="FL9" i="1"/>
  <c r="FJ9" i="1"/>
  <c r="FH9" i="1"/>
  <c r="BN9" i="1"/>
  <c r="EU29" i="1"/>
  <c r="FA29" i="1" s="1"/>
  <c r="DC29" i="1"/>
  <c r="FG29" i="1" s="1"/>
  <c r="ER26" i="1"/>
  <c r="IJ16" i="1"/>
  <c r="EN16" i="1"/>
  <c r="FJ14" i="1"/>
  <c r="FH14" i="1"/>
  <c r="FL14" i="1"/>
  <c r="BN14" i="1"/>
  <c r="EH28" i="1"/>
  <c r="HH28" i="1" s="1"/>
  <c r="EI28" i="1"/>
  <c r="HI28" i="1" s="1"/>
  <c r="ET28" i="1"/>
  <c r="DB28" i="1"/>
  <c r="DI28" i="1"/>
  <c r="DL28" i="1" s="1"/>
  <c r="EV15" i="1"/>
  <c r="IQ15" i="1"/>
  <c r="JB15" i="1"/>
  <c r="DD15" i="1"/>
  <c r="HU15" i="1"/>
  <c r="EX15" i="1"/>
  <c r="EY15" i="1"/>
  <c r="DE15" i="1"/>
  <c r="DG15" i="1"/>
  <c r="BU8" i="1"/>
  <c r="EG8" i="1"/>
  <c r="EF8" i="1"/>
  <c r="EE8" i="1"/>
  <c r="BV8" i="1"/>
  <c r="BT8" i="1"/>
  <c r="V8" i="1"/>
  <c r="ET32" i="1"/>
  <c r="EH32" i="1"/>
  <c r="HH32" i="1" s="1"/>
  <c r="DB32" i="1"/>
  <c r="DI32" i="1"/>
  <c r="DL32" i="1" s="1"/>
  <c r="EJ7" i="1"/>
  <c r="EK7" i="1" s="1"/>
  <c r="EX9" i="1"/>
  <c r="EL9" i="1"/>
  <c r="HS9" i="1" s="1"/>
  <c r="GF9" i="1"/>
  <c r="EM9" i="1"/>
  <c r="HT9" i="1" s="1"/>
  <c r="ER9" i="1"/>
  <c r="IZ9" i="1" s="1"/>
  <c r="DE9" i="1"/>
  <c r="IQ9" i="1"/>
  <c r="EQ9" i="1"/>
  <c r="IP9" i="1" s="1"/>
  <c r="DD9" i="1"/>
  <c r="EP9" i="1"/>
  <c r="IO9" i="1" s="1"/>
  <c r="HU9" i="1"/>
  <c r="JB9" i="1"/>
  <c r="EV9" i="1"/>
  <c r="GE9" i="1"/>
  <c r="EY9" i="1"/>
  <c r="DG9" i="1"/>
  <c r="EO27" i="1"/>
  <c r="IE27" i="1" s="1"/>
  <c r="ID27" i="1"/>
  <c r="IQ11" i="1"/>
  <c r="DG11" i="1"/>
  <c r="HU11" i="1"/>
  <c r="GF11" i="1"/>
  <c r="EP11" i="1"/>
  <c r="IO11" i="1" s="1"/>
  <c r="JB11" i="1"/>
  <c r="FV11" i="1"/>
  <c r="EY11" i="1"/>
  <c r="EX11" i="1"/>
  <c r="EV11" i="1"/>
  <c r="DE11" i="1"/>
  <c r="DD11" i="1"/>
  <c r="ER11" i="1"/>
  <c r="IZ11" i="1" s="1"/>
  <c r="EL11" i="1"/>
  <c r="HS11" i="1" s="1"/>
  <c r="FI13" i="1"/>
  <c r="BN8" i="1"/>
  <c r="FL8" i="1"/>
  <c r="FH8" i="1"/>
  <c r="FJ8" i="1"/>
  <c r="IV29" i="1"/>
  <c r="FD29" i="1"/>
  <c r="BV32" i="1"/>
  <c r="BV21" i="1"/>
  <c r="GF12" i="1"/>
  <c r="GC27" i="1"/>
  <c r="GK27" i="1" s="1"/>
  <c r="IB27" i="1" s="1"/>
  <c r="EX27" i="1"/>
  <c r="EL27" i="1"/>
  <c r="HS27" i="1" s="1"/>
  <c r="DE27" i="1"/>
  <c r="GF27" i="1"/>
  <c r="EV27" i="1"/>
  <c r="IQ27" i="1"/>
  <c r="JB27" i="1"/>
  <c r="HU27" i="1"/>
  <c r="FW27" i="1"/>
  <c r="GA27" i="1" s="1"/>
  <c r="EP27" i="1"/>
  <c r="IO27" i="1" s="1"/>
  <c r="DD27" i="1"/>
  <c r="ES27" i="1"/>
  <c r="JA27" i="1" s="1"/>
  <c r="ER27" i="1"/>
  <c r="IZ27" i="1" s="1"/>
  <c r="DG27" i="1"/>
  <c r="EY27" i="1"/>
  <c r="EM27" i="1"/>
  <c r="HT27" i="1" s="1"/>
  <c r="DU24" i="1"/>
  <c r="GG24" i="1" s="1"/>
  <c r="HC24" i="1"/>
  <c r="HM24" i="1"/>
  <c r="FL22" i="1"/>
  <c r="GE22" i="1" s="1"/>
  <c r="FJ22" i="1"/>
  <c r="BN22" i="1"/>
  <c r="FH22" i="1"/>
  <c r="EY33" i="1"/>
  <c r="HU33" i="1"/>
  <c r="FW33" i="1"/>
  <c r="GA33" i="1" s="1"/>
  <c r="GE33" i="1"/>
  <c r="ES33" i="1"/>
  <c r="JA33" i="1" s="1"/>
  <c r="EV33" i="1"/>
  <c r="EP33" i="1"/>
  <c r="IO33" i="1" s="1"/>
  <c r="DG33" i="1"/>
  <c r="GF33" i="1"/>
  <c r="DD33" i="1"/>
  <c r="JB33" i="1"/>
  <c r="EX33" i="1"/>
  <c r="FV33" i="1"/>
  <c r="EL33" i="1"/>
  <c r="HS33" i="1" s="1"/>
  <c r="DE33" i="1"/>
  <c r="ER33" i="1"/>
  <c r="IZ33" i="1" s="1"/>
  <c r="IQ33" i="1"/>
  <c r="EZ30" i="1"/>
  <c r="HO30" i="1"/>
  <c r="BN19" i="1"/>
  <c r="FL19" i="1"/>
  <c r="FJ19" i="1"/>
  <c r="FH19" i="1"/>
  <c r="BS25" i="1"/>
  <c r="ED25" i="1" s="1"/>
  <c r="HY25" i="1" s="1"/>
  <c r="DS25" i="1"/>
  <c r="BW25" i="1"/>
  <c r="DT25" i="1"/>
  <c r="BX25" i="1"/>
  <c r="BR25" i="1"/>
  <c r="EC25" i="1" s="1"/>
  <c r="HN25" i="1" s="1"/>
  <c r="EH29" i="1"/>
  <c r="HH29" i="1" s="1"/>
  <c r="DB29" i="1"/>
  <c r="ET29" i="1"/>
  <c r="DI29" i="1"/>
  <c r="DL29" i="1" s="1"/>
  <c r="EJ13" i="1"/>
  <c r="EK13" i="1" s="1"/>
  <c r="EF16" i="1"/>
  <c r="FE8" i="1"/>
  <c r="JG8" i="1"/>
  <c r="EP13" i="1"/>
  <c r="IJ18" i="1"/>
  <c r="EN18" i="1"/>
  <c r="EI26" i="1"/>
  <c r="HI26" i="1" s="1"/>
  <c r="EH26" i="1"/>
  <c r="HH26" i="1" s="1"/>
  <c r="DB26" i="1"/>
  <c r="ET26" i="1"/>
  <c r="DI26" i="1"/>
  <c r="DL26" i="1" s="1"/>
  <c r="EJ12" i="1"/>
  <c r="EK12" i="1" s="1"/>
  <c r="DT34" i="1"/>
  <c r="GW21" i="1"/>
  <c r="JC21" i="1"/>
  <c r="IR21" i="1"/>
  <c r="BQ21" i="1"/>
  <c r="HV21" i="1"/>
  <c r="FU16" i="1"/>
  <c r="DZ16" i="1"/>
  <c r="GD16" i="1"/>
  <c r="II16" i="1"/>
  <c r="GZ16" i="1"/>
  <c r="IH16" i="1" s="1"/>
  <c r="FX31" i="1"/>
  <c r="IT31" i="1"/>
  <c r="GE31" i="1"/>
  <c r="CZ33" i="1"/>
  <c r="DJ33" i="1"/>
  <c r="DM33" i="1" s="1"/>
  <c r="DP33" i="1" s="1"/>
  <c r="DA33" i="1"/>
  <c r="IT24" i="1"/>
  <c r="HA24" i="1"/>
  <c r="IS24" i="1" s="1"/>
  <c r="DC9" i="1"/>
  <c r="FG9" i="1" s="1"/>
  <c r="EJ9" i="1"/>
  <c r="EK9" i="1" s="1"/>
  <c r="EU9" i="1"/>
  <c r="FA9" i="1" s="1"/>
  <c r="HB17" i="1"/>
  <c r="JD17" i="1" s="1"/>
  <c r="GN17" i="1"/>
  <c r="JI17" i="1" s="1"/>
  <c r="JH17" i="1"/>
  <c r="FE30" i="1"/>
  <c r="JG30" i="1"/>
  <c r="GN30" i="1"/>
  <c r="JI30" i="1" s="1"/>
  <c r="JH30" i="1"/>
  <c r="HB30" i="1"/>
  <c r="JD30" i="1" s="1"/>
  <c r="FH29" i="1"/>
  <c r="FL29" i="1"/>
  <c r="FJ29" i="1"/>
  <c r="BN29" i="1"/>
  <c r="EL7" i="1"/>
  <c r="HO24" i="1"/>
  <c r="EZ24" i="1"/>
  <c r="FL11" i="1"/>
  <c r="GE11" i="1" s="1"/>
  <c r="BN11" i="1"/>
  <c r="FJ11" i="1"/>
  <c r="FH11" i="1"/>
  <c r="IJ26" i="1"/>
  <c r="EN26" i="1"/>
  <c r="GF26" i="1"/>
  <c r="BX35" i="1"/>
  <c r="FP18" i="1"/>
  <c r="FS18" i="1"/>
  <c r="EG16" i="1"/>
  <c r="GF13" i="1"/>
  <c r="EJ26" i="1"/>
  <c r="EK26" i="1"/>
  <c r="EU26" i="1"/>
  <c r="FA26" i="1" s="1"/>
  <c r="DC26" i="1"/>
  <c r="FG26" i="1" s="1"/>
  <c r="GP12" i="1"/>
  <c r="GS12" i="1" s="1"/>
  <c r="II21" i="1"/>
  <c r="GD21" i="1"/>
  <c r="DZ21" i="1"/>
  <c r="FU21" i="1"/>
  <c r="IT21" i="1"/>
  <c r="FX21" i="1"/>
  <c r="HM16" i="1"/>
  <c r="HC16" i="1"/>
  <c r="GO16" i="1"/>
  <c r="DU16" i="1"/>
  <c r="GB16" i="1"/>
  <c r="GJ16" i="1" s="1"/>
  <c r="HQ16" i="1" s="1"/>
  <c r="HD31" i="1"/>
  <c r="DV31" i="1"/>
  <c r="HX31" i="1"/>
  <c r="GQ31" i="1"/>
  <c r="DW31" i="1"/>
  <c r="FW31" i="1"/>
  <c r="GA31" i="1" s="1"/>
  <c r="FV31" i="1"/>
  <c r="DT16" i="1"/>
  <c r="BX16" i="1"/>
  <c r="BW16" i="1"/>
  <c r="BS16" i="1"/>
  <c r="ED16" i="1" s="1"/>
  <c r="HY16" i="1" s="1"/>
  <c r="BR16" i="1"/>
  <c r="EC16" i="1" s="1"/>
  <c r="HN16" i="1" s="1"/>
  <c r="DS16" i="1"/>
  <c r="GP16" i="1" s="1"/>
  <c r="GS16" i="1" s="1"/>
  <c r="DR16" i="1"/>
  <c r="IJ19" i="1"/>
  <c r="EN19" i="1"/>
  <c r="ID9" i="1"/>
  <c r="EO9" i="1"/>
  <c r="IE9" i="1" s="1"/>
  <c r="HZ26" i="1"/>
  <c r="FB26" i="1"/>
  <c r="FH28" i="1"/>
  <c r="FL28" i="1"/>
  <c r="FJ28" i="1"/>
  <c r="BN28" i="1"/>
  <c r="EP35" i="1"/>
  <c r="EQ35" i="1" s="1"/>
  <c r="EY35" i="1"/>
  <c r="FE35" i="1" s="1"/>
  <c r="EX35" i="1"/>
  <c r="FD35" i="1" s="1"/>
  <c r="EL35" i="1"/>
  <c r="EM35" i="1" s="1"/>
  <c r="FW35" i="1"/>
  <c r="GA35" i="1" s="1"/>
  <c r="FV35" i="1"/>
  <c r="EV35" i="1"/>
  <c r="FB35" i="1" s="1"/>
  <c r="DG35" i="1"/>
  <c r="GF35" i="1"/>
  <c r="GN35" i="1" s="1"/>
  <c r="DE35" i="1"/>
  <c r="ES35" i="1"/>
  <c r="DD35" i="1"/>
  <c r="ER35" i="1"/>
  <c r="EK24" i="1"/>
  <c r="EJ24" i="1"/>
  <c r="DC24" i="1"/>
  <c r="FG24" i="1" s="1"/>
  <c r="EU24" i="1"/>
  <c r="FA24" i="1" s="1"/>
  <c r="EH11" i="1"/>
  <c r="HH11" i="1" s="1"/>
  <c r="ET11" i="1"/>
  <c r="DB11" i="1"/>
  <c r="DI11" i="1"/>
  <c r="DL11" i="1" s="1"/>
  <c r="BX30" i="1"/>
  <c r="DS30" i="1"/>
  <c r="BW30" i="1"/>
  <c r="DT30" i="1"/>
  <c r="BR30" i="1"/>
  <c r="EC30" i="1" s="1"/>
  <c r="HN30" i="1" s="1"/>
  <c r="DR30" i="1"/>
  <c r="BS30" i="1"/>
  <c r="ED30" i="1" s="1"/>
  <c r="HY30" i="1" s="1"/>
  <c r="DJ9" i="1"/>
  <c r="DM9" i="1" s="1"/>
  <c r="CZ9" i="1"/>
  <c r="EQ17" i="1"/>
  <c r="IP17" i="1" s="1"/>
  <c r="BZ11" i="1"/>
  <c r="DQ11" i="1"/>
  <c r="FH13" i="1"/>
  <c r="BN13" i="1"/>
  <c r="FJ13" i="1"/>
  <c r="FL13" i="1"/>
  <c r="DS14" i="1"/>
  <c r="FJ27" i="1"/>
  <c r="GY27" i="1" s="1"/>
  <c r="HW27" i="1" s="1"/>
  <c r="FL27" i="1"/>
  <c r="GE27" i="1" s="1"/>
  <c r="BN27" i="1"/>
  <c r="FH27" i="1"/>
  <c r="FV27" i="1" s="1"/>
  <c r="JB20" i="1"/>
  <c r="HU20" i="1"/>
  <c r="FW20" i="1"/>
  <c r="GA20" i="1" s="1"/>
  <c r="FV20" i="1"/>
  <c r="EV20" i="1"/>
  <c r="DG20" i="1"/>
  <c r="IQ20" i="1"/>
  <c r="ES20" i="1"/>
  <c r="JA20" i="1" s="1"/>
  <c r="DE20" i="1"/>
  <c r="ER20" i="1"/>
  <c r="IZ20" i="1" s="1"/>
  <c r="DD20" i="1"/>
  <c r="GF20" i="1"/>
  <c r="EM20" i="1"/>
  <c r="HT20" i="1" s="1"/>
  <c r="EL20" i="1"/>
  <c r="HS20" i="1" s="1"/>
  <c r="EY20" i="1"/>
  <c r="EX20" i="1"/>
  <c r="EP20" i="1"/>
  <c r="IO20" i="1" s="1"/>
  <c r="BS12" i="1"/>
  <c r="ED12" i="1" s="1"/>
  <c r="HY12" i="1" s="1"/>
  <c r="DT12" i="1"/>
  <c r="BR12" i="1"/>
  <c r="EC12" i="1" s="1"/>
  <c r="HN12" i="1" s="1"/>
  <c r="DR12" i="1"/>
  <c r="DS12" i="1"/>
  <c r="BX12" i="1"/>
  <c r="BW12" i="1"/>
  <c r="ID14" i="1"/>
  <c r="EO14" i="1"/>
  <c r="IE14" i="1" s="1"/>
  <c r="FV24" i="1"/>
  <c r="JG29" i="1"/>
  <c r="FE29" i="1"/>
  <c r="BV35" i="1"/>
  <c r="BU35" i="1"/>
  <c r="EP12" i="1"/>
  <c r="BZ25" i="1"/>
  <c r="DQ25" i="1"/>
  <c r="EP30" i="1"/>
  <c r="EO11" i="1"/>
  <c r="IE11" i="1" s="1"/>
  <c r="ID11" i="1"/>
  <c r="FD7" i="1"/>
  <c r="IV7" i="1"/>
  <c r="ER7" i="1"/>
  <c r="EH30" i="1"/>
  <c r="BW26" i="1"/>
  <c r="DT26" i="1"/>
  <c r="BR26" i="1"/>
  <c r="EC26" i="1" s="1"/>
  <c r="HN26" i="1" s="1"/>
  <c r="BS26" i="1"/>
  <c r="ED26" i="1" s="1"/>
  <c r="HY26" i="1" s="1"/>
  <c r="DS26" i="1"/>
  <c r="DR26" i="1"/>
  <c r="BX26" i="1"/>
  <c r="DQ33" i="1"/>
  <c r="BZ33" i="1"/>
  <c r="BS27" i="1"/>
  <c r="ED27" i="1" s="1"/>
  <c r="HY27" i="1" s="1"/>
  <c r="DT9" i="1"/>
  <c r="EP26" i="1"/>
  <c r="FT18" i="1"/>
  <c r="FQ18" i="1"/>
  <c r="IA18" i="1" s="1"/>
  <c r="GP13" i="1"/>
  <c r="GS13" i="1" s="1"/>
  <c r="ER13" i="1"/>
  <c r="BS34" i="1"/>
  <c r="ED34" i="1" s="1"/>
  <c r="GC34" i="1" s="1"/>
  <c r="GK34" i="1" s="1"/>
  <c r="HC21" i="1"/>
  <c r="GO21" i="1"/>
  <c r="GB21" i="1"/>
  <c r="GJ21" i="1" s="1"/>
  <c r="HQ21" i="1" s="1"/>
  <c r="DU21" i="1"/>
  <c r="GG21" i="1" s="1"/>
  <c r="HM21" i="1"/>
  <c r="GX21" i="1"/>
  <c r="HL21" i="1" s="1"/>
  <c r="DW21" i="1"/>
  <c r="HD21" i="1"/>
  <c r="GQ21" i="1"/>
  <c r="DV21" i="1"/>
  <c r="HX21" i="1"/>
  <c r="JC31" i="1"/>
  <c r="BQ31" i="1"/>
  <c r="IR31" i="1"/>
  <c r="HV31" i="1"/>
  <c r="GW31" i="1"/>
  <c r="FI31" i="1"/>
  <c r="IW27" i="1" l="1"/>
  <c r="GM27" i="1"/>
  <c r="IX27" i="1" s="1"/>
  <c r="IW11" i="1"/>
  <c r="GM11" i="1"/>
  <c r="IX11" i="1" s="1"/>
  <c r="IW22" i="1"/>
  <c r="GM22" i="1"/>
  <c r="IX22" i="1" s="1"/>
  <c r="FZ27" i="1"/>
  <c r="EQ27" i="1"/>
  <c r="IP27" i="1" s="1"/>
  <c r="HX9" i="1"/>
  <c r="DV9" i="1"/>
  <c r="DW9" i="1"/>
  <c r="GQ9" i="1"/>
  <c r="HD9" i="1"/>
  <c r="HX7" i="1"/>
  <c r="GQ7" i="1"/>
  <c r="HD7" i="1"/>
  <c r="DW7" i="1"/>
  <c r="DV7" i="1"/>
  <c r="FW7" i="1"/>
  <c r="GA7" i="1" s="1"/>
  <c r="GC7" i="1"/>
  <c r="GK7" i="1" s="1"/>
  <c r="IB7" i="1" s="1"/>
  <c r="FY7" i="1"/>
  <c r="FV7" i="1"/>
  <c r="GW35" i="1"/>
  <c r="BQ35" i="1"/>
  <c r="EO30" i="1"/>
  <c r="IE30" i="1" s="1"/>
  <c r="ID30" i="1"/>
  <c r="EU11" i="1"/>
  <c r="FA11" i="1" s="1"/>
  <c r="EJ11" i="1"/>
  <c r="EK11" i="1"/>
  <c r="DC11" i="1"/>
  <c r="FG11" i="1" s="1"/>
  <c r="GP11" i="1" s="1"/>
  <c r="GS11" i="1" s="1"/>
  <c r="GM14" i="1"/>
  <c r="IX14" i="1" s="1"/>
  <c r="IW14" i="1"/>
  <c r="GH14" i="1"/>
  <c r="FZ14" i="1"/>
  <c r="DZ30" i="1"/>
  <c r="FU30" i="1"/>
  <c r="II30" i="1"/>
  <c r="GD30" i="1"/>
  <c r="GN31" i="1"/>
  <c r="JI31" i="1" s="1"/>
  <c r="JH31" i="1"/>
  <c r="HB31" i="1"/>
  <c r="JD31" i="1" s="1"/>
  <c r="HA33" i="1"/>
  <c r="IS33" i="1" s="1"/>
  <c r="IT33" i="1"/>
  <c r="FX33" i="1"/>
  <c r="EA33" i="1"/>
  <c r="IN33" i="1" s="1"/>
  <c r="FB23" i="1"/>
  <c r="HZ23" i="1"/>
  <c r="BY17" i="1"/>
  <c r="DO17" i="1"/>
  <c r="FK17" i="1"/>
  <c r="FF17" i="1"/>
  <c r="FI17" i="1"/>
  <c r="GY16" i="1"/>
  <c r="HW16" i="1" s="1"/>
  <c r="DT29" i="1"/>
  <c r="GQ29" i="1" s="1"/>
  <c r="DS29" i="1"/>
  <c r="DR29" i="1"/>
  <c r="BX29" i="1"/>
  <c r="BR29" i="1"/>
  <c r="EC29" i="1" s="1"/>
  <c r="HN29" i="1" s="1"/>
  <c r="BW29" i="1"/>
  <c r="BS29" i="1"/>
  <c r="ED29" i="1" s="1"/>
  <c r="HY29" i="1" s="1"/>
  <c r="HD17" i="1"/>
  <c r="GQ17" i="1"/>
  <c r="DW17" i="1"/>
  <c r="GI17" i="1" s="1"/>
  <c r="HX17" i="1"/>
  <c r="DV17" i="1"/>
  <c r="FY17" i="1"/>
  <c r="GC17" i="1"/>
  <c r="GK17" i="1" s="1"/>
  <c r="IB17" i="1" s="1"/>
  <c r="FV17" i="1"/>
  <c r="FW17" i="1"/>
  <c r="GA17" i="1" s="1"/>
  <c r="BQ34" i="1"/>
  <c r="GW34" i="1"/>
  <c r="DO14" i="1"/>
  <c r="BY14" i="1"/>
  <c r="FF14" i="1"/>
  <c r="FK14" i="1"/>
  <c r="DR14" i="1"/>
  <c r="FI14" i="1"/>
  <c r="ID23" i="1"/>
  <c r="EO23" i="1"/>
  <c r="IE23" i="1" s="1"/>
  <c r="FH15" i="1"/>
  <c r="BN15" i="1"/>
  <c r="FL15" i="1"/>
  <c r="FJ15" i="1"/>
  <c r="EN10" i="1"/>
  <c r="IJ10" i="1"/>
  <c r="HX12" i="1"/>
  <c r="DV12" i="1"/>
  <c r="HD12" i="1"/>
  <c r="GQ12" i="1"/>
  <c r="DW12" i="1"/>
  <c r="GI12" i="1" s="1"/>
  <c r="GC12" i="1"/>
  <c r="GK12" i="1" s="1"/>
  <c r="IB12" i="1" s="1"/>
  <c r="FY12" i="1"/>
  <c r="FV12" i="1"/>
  <c r="FW12" i="1"/>
  <c r="GA12" i="1" s="1"/>
  <c r="JG15" i="1"/>
  <c r="FE15" i="1"/>
  <c r="IZ7" i="1"/>
  <c r="ES7" i="1"/>
  <c r="JA7" i="1" s="1"/>
  <c r="DW16" i="1"/>
  <c r="GI16" i="1" s="1"/>
  <c r="HD16" i="1"/>
  <c r="GQ16" i="1"/>
  <c r="DV16" i="1"/>
  <c r="HX16" i="1"/>
  <c r="FY16" i="1"/>
  <c r="FW16" i="1"/>
  <c r="GA16" i="1" s="1"/>
  <c r="GC16" i="1"/>
  <c r="GK16" i="1" s="1"/>
  <c r="IB16" i="1" s="1"/>
  <c r="FV16" i="1"/>
  <c r="FX34" i="1"/>
  <c r="IT20" i="1"/>
  <c r="HA20" i="1"/>
  <c r="IS20" i="1" s="1"/>
  <c r="FX20" i="1"/>
  <c r="IU10" i="1"/>
  <c r="EP10" i="1"/>
  <c r="EL10" i="1"/>
  <c r="FX25" i="1"/>
  <c r="IT25" i="1"/>
  <c r="FD20" i="1"/>
  <c r="IV20" i="1"/>
  <c r="GE20" i="1"/>
  <c r="FS14" i="1"/>
  <c r="FP14" i="1"/>
  <c r="DV28" i="1"/>
  <c r="GH28" i="1" s="1"/>
  <c r="HX28" i="1"/>
  <c r="GQ28" i="1"/>
  <c r="HD28" i="1"/>
  <c r="DW28" i="1"/>
  <c r="GG16" i="1"/>
  <c r="ID26" i="1"/>
  <c r="EO26" i="1"/>
  <c r="IE26" i="1" s="1"/>
  <c r="IT29" i="1"/>
  <c r="FX29" i="1"/>
  <c r="GE29" i="1"/>
  <c r="HA29" i="1" s="1"/>
  <c r="IS29" i="1" s="1"/>
  <c r="DO26" i="1"/>
  <c r="FK26" i="1"/>
  <c r="BY26" i="1"/>
  <c r="FF26" i="1"/>
  <c r="FI26" i="1"/>
  <c r="JH12" i="1"/>
  <c r="HB12" i="1"/>
  <c r="JD12" i="1" s="1"/>
  <c r="GN12" i="1"/>
  <c r="JI12" i="1" s="1"/>
  <c r="EQ11" i="1"/>
  <c r="IP11" i="1" s="1"/>
  <c r="EM11" i="1"/>
  <c r="HT11" i="1" s="1"/>
  <c r="GM9" i="1"/>
  <c r="IX9" i="1" s="1"/>
  <c r="IW9" i="1"/>
  <c r="GC9" i="1"/>
  <c r="GK9" i="1" s="1"/>
  <c r="IB9" i="1" s="1"/>
  <c r="EZ32" i="1"/>
  <c r="HO32" i="1"/>
  <c r="DV14" i="1"/>
  <c r="DW14" i="1"/>
  <c r="HX14" i="1"/>
  <c r="GQ14" i="1"/>
  <c r="HD14" i="1"/>
  <c r="IT9" i="1"/>
  <c r="FX9" i="1"/>
  <c r="HA9" i="1"/>
  <c r="IS9" i="1" s="1"/>
  <c r="GW7" i="1"/>
  <c r="IR7" i="1"/>
  <c r="BQ7" i="1"/>
  <c r="JC7" i="1"/>
  <c r="HV7" i="1"/>
  <c r="FD14" i="1"/>
  <c r="IV14" i="1"/>
  <c r="DV33" i="1"/>
  <c r="GQ33" i="1"/>
  <c r="HD33" i="1"/>
  <c r="DW33" i="1"/>
  <c r="GI33" i="1" s="1"/>
  <c r="HX33" i="1"/>
  <c r="GZ31" i="1"/>
  <c r="IH31" i="1" s="1"/>
  <c r="FU31" i="1"/>
  <c r="DZ31" i="1"/>
  <c r="II31" i="1"/>
  <c r="GD31" i="1"/>
  <c r="FY28" i="1"/>
  <c r="JG25" i="1"/>
  <c r="FE25" i="1"/>
  <c r="IW23" i="1"/>
  <c r="GM23" i="1"/>
  <c r="IX23" i="1" s="1"/>
  <c r="EI17" i="1"/>
  <c r="HI17" i="1" s="1"/>
  <c r="IR16" i="1"/>
  <c r="JC16" i="1"/>
  <c r="GW16" i="1"/>
  <c r="HV16" i="1"/>
  <c r="BQ16" i="1"/>
  <c r="EN29" i="1"/>
  <c r="IJ29" i="1"/>
  <c r="FX17" i="1"/>
  <c r="IT17" i="1"/>
  <c r="GE17" i="1"/>
  <c r="GQ34" i="1"/>
  <c r="DV34" i="1"/>
  <c r="DW34" i="1"/>
  <c r="GI34" i="1" s="1"/>
  <c r="FR31" i="1"/>
  <c r="FO31" i="1"/>
  <c r="HP31" i="1" s="1"/>
  <c r="JC20" i="1"/>
  <c r="BQ20" i="1"/>
  <c r="IR20" i="1"/>
  <c r="HV20" i="1"/>
  <c r="GW20" i="1"/>
  <c r="EJ35" i="1"/>
  <c r="EK35" i="1" s="1"/>
  <c r="EU35" i="1"/>
  <c r="FA35" i="1" s="1"/>
  <c r="DC35" i="1"/>
  <c r="FG35" i="1" s="1"/>
  <c r="GP35" i="1" s="1"/>
  <c r="GS35" i="1" s="1"/>
  <c r="HX30" i="1"/>
  <c r="DW30" i="1"/>
  <c r="DV30" i="1"/>
  <c r="GQ30" i="1"/>
  <c r="HD30" i="1"/>
  <c r="FW30" i="1"/>
  <c r="GA30" i="1" s="1"/>
  <c r="GC30" i="1"/>
  <c r="GK30" i="1" s="1"/>
  <c r="IB30" i="1" s="1"/>
  <c r="FV30" i="1"/>
  <c r="FY30" i="1"/>
  <c r="BS15" i="1"/>
  <c r="ED15" i="1" s="1"/>
  <c r="HY15" i="1" s="1"/>
  <c r="DB34" i="1"/>
  <c r="EH34" i="1"/>
  <c r="EI34" i="1" s="1"/>
  <c r="ET34" i="1"/>
  <c r="EZ34" i="1" s="1"/>
  <c r="DI34" i="1"/>
  <c r="DL34" i="1" s="1"/>
  <c r="GY25" i="1"/>
  <c r="HW25" i="1" s="1"/>
  <c r="FZ35" i="1"/>
  <c r="IT14" i="1"/>
  <c r="FX14" i="1"/>
  <c r="HA14" i="1"/>
  <c r="IS14" i="1" s="1"/>
  <c r="HS26" i="1"/>
  <c r="EM26" i="1"/>
  <c r="HT26" i="1" s="1"/>
  <c r="HA13" i="1"/>
  <c r="IS13" i="1" s="1"/>
  <c r="IT13" i="1"/>
  <c r="FX13" i="1"/>
  <c r="GE13" i="1"/>
  <c r="GX16" i="1"/>
  <c r="HL16" i="1" s="1"/>
  <c r="DV29" i="1"/>
  <c r="HD29" i="1"/>
  <c r="DW29" i="1"/>
  <c r="HX29" i="1"/>
  <c r="GC29" i="1"/>
  <c r="GK29" i="1" s="1"/>
  <c r="IB29" i="1" s="1"/>
  <c r="FY29" i="1"/>
  <c r="FV29" i="1"/>
  <c r="FW29" i="1"/>
  <c r="GA29" i="1" s="1"/>
  <c r="FD15" i="1"/>
  <c r="IV15" i="1"/>
  <c r="HZ15" i="1"/>
  <c r="FB15" i="1"/>
  <c r="FX35" i="1"/>
  <c r="FB22" i="1"/>
  <c r="HZ22" i="1"/>
  <c r="GN14" i="1"/>
  <c r="JI14" i="1" s="1"/>
  <c r="HB14" i="1"/>
  <c r="JD14" i="1" s="1"/>
  <c r="JH14" i="1"/>
  <c r="JF21" i="1"/>
  <c r="ER21" i="1"/>
  <c r="FW21" i="1"/>
  <c r="GA21" i="1" s="1"/>
  <c r="EJ21" i="1"/>
  <c r="EK21" i="1" s="1"/>
  <c r="GF21" i="1"/>
  <c r="BY19" i="1"/>
  <c r="DO19" i="1"/>
  <c r="FF19" i="1"/>
  <c r="FK19" i="1"/>
  <c r="FI19" i="1"/>
  <c r="EO21" i="1"/>
  <c r="IE21" i="1" s="1"/>
  <c r="ID21" i="1"/>
  <c r="ID25" i="1"/>
  <c r="EO25" i="1"/>
  <c r="IE25" i="1" s="1"/>
  <c r="GW33" i="1"/>
  <c r="JC33" i="1"/>
  <c r="BQ33" i="1"/>
  <c r="IR33" i="1"/>
  <c r="HV33" i="1"/>
  <c r="EM28" i="1"/>
  <c r="HT28" i="1" s="1"/>
  <c r="JF29" i="1"/>
  <c r="ER29" i="1"/>
  <c r="GF29" i="1"/>
  <c r="IR17" i="1"/>
  <c r="GW17" i="1"/>
  <c r="BQ17" i="1"/>
  <c r="JC17" i="1"/>
  <c r="HV17" i="1"/>
  <c r="HS18" i="1"/>
  <c r="EM18" i="1"/>
  <c r="HT18" i="1" s="1"/>
  <c r="DB35" i="1"/>
  <c r="ET35" i="1"/>
  <c r="EZ35" i="1" s="1"/>
  <c r="EH35" i="1"/>
  <c r="EI35" i="1" s="1"/>
  <c r="DI35" i="1"/>
  <c r="DL35" i="1" s="1"/>
  <c r="DO7" i="1"/>
  <c r="BY7" i="1"/>
  <c r="FK7" i="1"/>
  <c r="FF7" i="1"/>
  <c r="FI7" i="1"/>
  <c r="FS20" i="1"/>
  <c r="FP20" i="1"/>
  <c r="IT30" i="1"/>
  <c r="FX30" i="1"/>
  <c r="GE30" i="1"/>
  <c r="HA30" i="1" s="1"/>
  <c r="IS30" i="1" s="1"/>
  <c r="FS15" i="1"/>
  <c r="FP15" i="1"/>
  <c r="EJ34" i="1"/>
  <c r="EU34" i="1"/>
  <c r="FA34" i="1" s="1"/>
  <c r="DC34" i="1"/>
  <c r="FG34" i="1" s="1"/>
  <c r="EK34" i="1"/>
  <c r="ID7" i="1"/>
  <c r="EO7" i="1"/>
  <c r="IE7" i="1" s="1"/>
  <c r="HD25" i="1"/>
  <c r="HX25" i="1"/>
  <c r="DW25" i="1"/>
  <c r="GQ25" i="1"/>
  <c r="DV25" i="1"/>
  <c r="IO26" i="1"/>
  <c r="EQ26" i="1"/>
  <c r="IP26" i="1" s="1"/>
  <c r="FQ34" i="1"/>
  <c r="FT34" i="1"/>
  <c r="GL21" i="1"/>
  <c r="IM21" i="1" s="1"/>
  <c r="IL21" i="1"/>
  <c r="FT19" i="1"/>
  <c r="FQ19" i="1"/>
  <c r="IA19" i="1" s="1"/>
  <c r="DW35" i="1"/>
  <c r="GI35" i="1" s="1"/>
  <c r="DV35" i="1"/>
  <c r="GH35" i="1" s="1"/>
  <c r="GQ35" i="1"/>
  <c r="FZ28" i="1"/>
  <c r="FT16" i="1"/>
  <c r="FQ16" i="1"/>
  <c r="IA16" i="1" s="1"/>
  <c r="HO26" i="1"/>
  <c r="EZ26" i="1"/>
  <c r="GH33" i="1"/>
  <c r="FZ33" i="1"/>
  <c r="DT8" i="1"/>
  <c r="BX8" i="1"/>
  <c r="BW8" i="1"/>
  <c r="BS8" i="1"/>
  <c r="ED8" i="1" s="1"/>
  <c r="HY8" i="1" s="1"/>
  <c r="DR8" i="1"/>
  <c r="BR8" i="1"/>
  <c r="EC8" i="1" s="1"/>
  <c r="IU19" i="1"/>
  <c r="EL19" i="1"/>
  <c r="EP19" i="1"/>
  <c r="FY20" i="1"/>
  <c r="GC31" i="1"/>
  <c r="GP26" i="1"/>
  <c r="GS26" i="1" s="1"/>
  <c r="HD11" i="1"/>
  <c r="GQ11" i="1"/>
  <c r="DV11" i="1"/>
  <c r="GH11" i="1" s="1"/>
  <c r="HX11" i="1"/>
  <c r="DW11" i="1"/>
  <c r="GL16" i="1"/>
  <c r="IM16" i="1" s="1"/>
  <c r="IL16" i="1"/>
  <c r="EZ29" i="1"/>
  <c r="HO29" i="1"/>
  <c r="HX19" i="1"/>
  <c r="DW19" i="1"/>
  <c r="GI19" i="1" s="1"/>
  <c r="DV19" i="1"/>
  <c r="GQ19" i="1"/>
  <c r="HD19" i="1"/>
  <c r="FV19" i="1"/>
  <c r="GC19" i="1"/>
  <c r="GK19" i="1" s="1"/>
  <c r="IB19" i="1" s="1"/>
  <c r="FW19" i="1"/>
  <c r="GA19" i="1" s="1"/>
  <c r="FY19" i="1"/>
  <c r="IV33" i="1"/>
  <c r="FD33" i="1"/>
  <c r="EM33" i="1"/>
  <c r="HT33" i="1" s="1"/>
  <c r="JH9" i="1"/>
  <c r="GN9" i="1"/>
  <c r="JI9" i="1" s="1"/>
  <c r="HB9" i="1"/>
  <c r="JD9" i="1" s="1"/>
  <c r="EO16" i="1"/>
  <c r="IE16" i="1" s="1"/>
  <c r="ID16" i="1"/>
  <c r="BS22" i="1"/>
  <c r="ED22" i="1" s="1"/>
  <c r="HY22" i="1" s="1"/>
  <c r="DS22" i="1"/>
  <c r="DT22" i="1"/>
  <c r="BX22" i="1"/>
  <c r="BW22" i="1"/>
  <c r="BR22" i="1"/>
  <c r="EC22" i="1" s="1"/>
  <c r="HN22" i="1" s="1"/>
  <c r="FV22" i="1"/>
  <c r="HO19" i="1"/>
  <c r="EZ19" i="1"/>
  <c r="GF32" i="1"/>
  <c r="EJ32" i="1"/>
  <c r="EK32" i="1" s="1"/>
  <c r="DC32" i="1"/>
  <c r="FG32" i="1" s="1"/>
  <c r="GP32" i="1" s="1"/>
  <c r="GS32" i="1" s="1"/>
  <c r="EU32" i="1"/>
  <c r="FA32" i="1" s="1"/>
  <c r="JF19" i="1"/>
  <c r="GF19" i="1"/>
  <c r="EJ19" i="1"/>
  <c r="EK19" i="1" s="1"/>
  <c r="ER19" i="1"/>
  <c r="GC28" i="1"/>
  <c r="GK28" i="1" s="1"/>
  <c r="IB28" i="1" s="1"/>
  <c r="HH31" i="1"/>
  <c r="EI31" i="1"/>
  <c r="HI31" i="1" s="1"/>
  <c r="FV23" i="1"/>
  <c r="HO17" i="1"/>
  <c r="EZ17" i="1"/>
  <c r="IU29" i="1"/>
  <c r="EL29" i="1"/>
  <c r="EP29" i="1"/>
  <c r="IO18" i="1"/>
  <c r="EQ18" i="1"/>
  <c r="IP18" i="1" s="1"/>
  <c r="HO14" i="1"/>
  <c r="EZ14" i="1"/>
  <c r="HS13" i="1"/>
  <c r="EM13" i="1"/>
  <c r="HT13" i="1" s="1"/>
  <c r="GQ20" i="1"/>
  <c r="HD20" i="1"/>
  <c r="DW20" i="1"/>
  <c r="GI20" i="1" s="1"/>
  <c r="DV20" i="1"/>
  <c r="HX20" i="1"/>
  <c r="DP35" i="1"/>
  <c r="DS35" i="1"/>
  <c r="FQ20" i="1"/>
  <c r="IA20" i="1" s="1"/>
  <c r="FT20" i="1"/>
  <c r="HV30" i="1"/>
  <c r="JC30" i="1"/>
  <c r="GW30" i="1"/>
  <c r="IR30" i="1"/>
  <c r="BQ30" i="1"/>
  <c r="DP34" i="1"/>
  <c r="DS34" i="1"/>
  <c r="DO20" i="1"/>
  <c r="FF20" i="1"/>
  <c r="BY20" i="1"/>
  <c r="FK20" i="1"/>
  <c r="FI20" i="1"/>
  <c r="BQ25" i="1"/>
  <c r="IR25" i="1"/>
  <c r="HV25" i="1"/>
  <c r="JC25" i="1"/>
  <c r="GW25" i="1"/>
  <c r="GI21" i="1"/>
  <c r="IR29" i="1"/>
  <c r="JC29" i="1"/>
  <c r="BQ29" i="1"/>
  <c r="GW29" i="1"/>
  <c r="HV29" i="1"/>
  <c r="FR19" i="1"/>
  <c r="FO19" i="1"/>
  <c r="HP19" i="1" s="1"/>
  <c r="GP24" i="1"/>
  <c r="GS24" i="1" s="1"/>
  <c r="FS25" i="1"/>
  <c r="FP25" i="1"/>
  <c r="FX7" i="1"/>
  <c r="IT7" i="1"/>
  <c r="GE7" i="1"/>
  <c r="JG20" i="1"/>
  <c r="FE20" i="1"/>
  <c r="HZ20" i="1"/>
  <c r="FB20" i="1"/>
  <c r="IR13" i="1"/>
  <c r="JC13" i="1"/>
  <c r="GW13" i="1"/>
  <c r="BQ13" i="1"/>
  <c r="HV13" i="1"/>
  <c r="FP30" i="1"/>
  <c r="FS30" i="1"/>
  <c r="GU35" i="1"/>
  <c r="GH31" i="1"/>
  <c r="FZ31" i="1"/>
  <c r="IC16" i="1"/>
  <c r="GV16" i="1"/>
  <c r="GY19" i="1"/>
  <c r="HW19" i="1" s="1"/>
  <c r="JG33" i="1"/>
  <c r="FE33" i="1"/>
  <c r="FB27" i="1"/>
  <c r="HZ27" i="1"/>
  <c r="ES11" i="1"/>
  <c r="JA11" i="1" s="1"/>
  <c r="JH11" i="1"/>
  <c r="HB11" i="1"/>
  <c r="JD11" i="1" s="1"/>
  <c r="GN11" i="1"/>
  <c r="JI11" i="1" s="1"/>
  <c r="FV9" i="1"/>
  <c r="ES9" i="1"/>
  <c r="JA9" i="1" s="1"/>
  <c r="IU21" i="1"/>
  <c r="FV21" i="1"/>
  <c r="GE21" i="1"/>
  <c r="EP21" i="1"/>
  <c r="EL21" i="1"/>
  <c r="DR7" i="1"/>
  <c r="DW18" i="1"/>
  <c r="HD18" i="1"/>
  <c r="HX18" i="1"/>
  <c r="GQ18" i="1"/>
  <c r="DV18" i="1"/>
  <c r="FY18" i="1"/>
  <c r="GC18" i="1"/>
  <c r="GK18" i="1" s="1"/>
  <c r="IB18" i="1" s="1"/>
  <c r="FW18" i="1"/>
  <c r="GA18" i="1" s="1"/>
  <c r="FV18" i="1"/>
  <c r="HS12" i="1"/>
  <c r="EM12" i="1"/>
  <c r="HT12" i="1" s="1"/>
  <c r="ID32" i="1"/>
  <c r="EO32" i="1"/>
  <c r="IE32" i="1" s="1"/>
  <c r="EH23" i="1"/>
  <c r="HH23" i="1" s="1"/>
  <c r="DB23" i="1"/>
  <c r="EI23" i="1"/>
  <c r="HI23" i="1" s="1"/>
  <c r="ET23" i="1"/>
  <c r="DI23" i="1"/>
  <c r="DL23" i="1" s="1"/>
  <c r="DS23" i="1"/>
  <c r="ET15" i="1"/>
  <c r="EH15" i="1"/>
  <c r="HH15" i="1" s="1"/>
  <c r="EI15" i="1"/>
  <c r="HI15" i="1" s="1"/>
  <c r="DI15" i="1"/>
  <c r="DL15" i="1" s="1"/>
  <c r="DB15" i="1"/>
  <c r="FQ21" i="1"/>
  <c r="IA21" i="1" s="1"/>
  <c r="FT21" i="1"/>
  <c r="ID15" i="1"/>
  <c r="EO15" i="1"/>
  <c r="IE15" i="1" s="1"/>
  <c r="GU28" i="1"/>
  <c r="HH12" i="1"/>
  <c r="EI12" i="1"/>
  <c r="HI12" i="1" s="1"/>
  <c r="HC18" i="1"/>
  <c r="GO18" i="1"/>
  <c r="DU18" i="1"/>
  <c r="GG18" i="1" s="1"/>
  <c r="HM18" i="1"/>
  <c r="GB18" i="1"/>
  <c r="GJ18" i="1" s="1"/>
  <c r="HQ18" i="1" s="1"/>
  <c r="EZ7" i="1"/>
  <c r="HO7" i="1"/>
  <c r="GY30" i="1"/>
  <c r="HW30" i="1" s="1"/>
  <c r="FQ15" i="1"/>
  <c r="IA15" i="1" s="1"/>
  <c r="FT15" i="1"/>
  <c r="GM24" i="1"/>
  <c r="IX24" i="1" s="1"/>
  <c r="IW24" i="1"/>
  <c r="FZ11" i="1"/>
  <c r="IW33" i="1"/>
  <c r="GM33" i="1"/>
  <c r="IX33" i="1" s="1"/>
  <c r="DO29" i="1"/>
  <c r="FF29" i="1"/>
  <c r="BY29" i="1"/>
  <c r="FK29" i="1"/>
  <c r="FI29" i="1"/>
  <c r="FR26" i="1"/>
  <c r="FO26" i="1"/>
  <c r="HP26" i="1" s="1"/>
  <c r="GH20" i="1"/>
  <c r="FZ20" i="1"/>
  <c r="JC11" i="1"/>
  <c r="IR11" i="1"/>
  <c r="HV11" i="1"/>
  <c r="BQ11" i="1"/>
  <c r="GW11" i="1"/>
  <c r="IT19" i="1"/>
  <c r="FX19" i="1"/>
  <c r="GE19" i="1"/>
  <c r="GC33" i="1"/>
  <c r="GK33" i="1" s="1"/>
  <c r="IB33" i="1" s="1"/>
  <c r="FY33" i="1"/>
  <c r="FE27" i="1"/>
  <c r="JG27" i="1"/>
  <c r="FB11" i="1"/>
  <c r="HZ11" i="1"/>
  <c r="FW9" i="1"/>
  <c r="GA9" i="1" s="1"/>
  <c r="EN8" i="1"/>
  <c r="IJ8" i="1"/>
  <c r="DU8" i="1"/>
  <c r="GG8" i="1" s="1"/>
  <c r="GD8" i="1"/>
  <c r="DZ8" i="1"/>
  <c r="EH8" i="1"/>
  <c r="FU8" i="1"/>
  <c r="IZ26" i="1"/>
  <c r="ES26" i="1"/>
  <c r="JA26" i="1" s="1"/>
  <c r="IT18" i="1"/>
  <c r="FX18" i="1"/>
  <c r="HA18" i="1"/>
  <c r="IS18" i="1" s="1"/>
  <c r="GE18" i="1"/>
  <c r="EQ22" i="1"/>
  <c r="IP22" i="1" s="1"/>
  <c r="GU14" i="1"/>
  <c r="DB27" i="1"/>
  <c r="EH27" i="1"/>
  <c r="HH27" i="1" s="1"/>
  <c r="ET27" i="1"/>
  <c r="DI27" i="1"/>
  <c r="DL27" i="1" s="1"/>
  <c r="ES32" i="1"/>
  <c r="JA32" i="1" s="1"/>
  <c r="HZ32" i="1"/>
  <c r="FB32" i="1"/>
  <c r="DC15" i="1"/>
  <c r="FG15" i="1" s="1"/>
  <c r="GP15" i="1" s="1"/>
  <c r="GS15" i="1" s="1"/>
  <c r="EU15" i="1"/>
  <c r="FA15" i="1" s="1"/>
  <c r="HB28" i="1"/>
  <c r="JD28" i="1" s="1"/>
  <c r="JH28" i="1"/>
  <c r="GN28" i="1"/>
  <c r="JI28" i="1" s="1"/>
  <c r="ER23" i="1"/>
  <c r="ID31" i="1"/>
  <c r="EO31" i="1"/>
  <c r="IE31" i="1" s="1"/>
  <c r="HS30" i="1"/>
  <c r="EM30" i="1"/>
  <c r="HT30" i="1" s="1"/>
  <c r="FT17" i="1"/>
  <c r="FQ17" i="1"/>
  <c r="IA17" i="1" s="1"/>
  <c r="II18" i="1"/>
  <c r="GD18" i="1"/>
  <c r="GZ18" i="1"/>
  <c r="IH18" i="1" s="1"/>
  <c r="FU18" i="1"/>
  <c r="DZ18" i="1"/>
  <c r="ID17" i="1"/>
  <c r="EO17" i="1"/>
  <c r="IE17" i="1" s="1"/>
  <c r="GE34" i="1"/>
  <c r="GM34" i="1" s="1"/>
  <c r="IJ24" i="1"/>
  <c r="EN24" i="1"/>
  <c r="EH24" i="1"/>
  <c r="GD24" i="1"/>
  <c r="DZ24" i="1"/>
  <c r="FU24" i="1"/>
  <c r="GQ10" i="1"/>
  <c r="DW10" i="1"/>
  <c r="GI10" i="1" s="1"/>
  <c r="HX10" i="1"/>
  <c r="DV10" i="1"/>
  <c r="HD10" i="1"/>
  <c r="FW10" i="1"/>
  <c r="GA10" i="1" s="1"/>
  <c r="FV10" i="1"/>
  <c r="FY10" i="1"/>
  <c r="GU10" i="1"/>
  <c r="ET25" i="1"/>
  <c r="EH25" i="1"/>
  <c r="HH25" i="1" s="1"/>
  <c r="DB25" i="1"/>
  <c r="DI25" i="1"/>
  <c r="DL25" i="1" s="1"/>
  <c r="HO20" i="1"/>
  <c r="EZ20" i="1"/>
  <c r="GY28" i="1"/>
  <c r="HW28" i="1" s="1"/>
  <c r="FT9" i="1"/>
  <c r="FQ9" i="1"/>
  <c r="IA9" i="1" s="1"/>
  <c r="HB26" i="1"/>
  <c r="JD26" i="1" s="1"/>
  <c r="GN26" i="1"/>
  <c r="JI26" i="1" s="1"/>
  <c r="JH26" i="1"/>
  <c r="HA12" i="1"/>
  <c r="IS12" i="1" s="1"/>
  <c r="FX12" i="1"/>
  <c r="IT12" i="1"/>
  <c r="GE12" i="1"/>
  <c r="GH24" i="1"/>
  <c r="FZ24" i="1"/>
  <c r="FY35" i="1"/>
  <c r="FS26" i="1"/>
  <c r="FP26" i="1"/>
  <c r="JH20" i="1"/>
  <c r="HB20" i="1"/>
  <c r="JD20" i="1" s="1"/>
  <c r="GN20" i="1"/>
  <c r="JI20" i="1" s="1"/>
  <c r="DO11" i="1"/>
  <c r="FK11" i="1"/>
  <c r="BY11" i="1"/>
  <c r="FF11" i="1"/>
  <c r="FI11" i="1"/>
  <c r="DR11" i="1"/>
  <c r="GE35" i="1"/>
  <c r="GM35" i="1" s="1"/>
  <c r="EO19" i="1"/>
  <c r="IE19" i="1" s="1"/>
  <c r="ID19" i="1"/>
  <c r="FY31" i="1"/>
  <c r="IT11" i="1"/>
  <c r="HA11" i="1"/>
  <c r="IS11" i="1" s="1"/>
  <c r="FX11" i="1"/>
  <c r="EK33" i="1"/>
  <c r="DC33" i="1"/>
  <c r="FG33" i="1" s="1"/>
  <c r="EJ33" i="1"/>
  <c r="EU33" i="1"/>
  <c r="FA33" i="1" s="1"/>
  <c r="ID18" i="1"/>
  <c r="EO18" i="1"/>
  <c r="IE18" i="1" s="1"/>
  <c r="EI29" i="1"/>
  <c r="HI29" i="1" s="1"/>
  <c r="BQ19" i="1"/>
  <c r="GW19" i="1"/>
  <c r="HV19" i="1"/>
  <c r="JC19" i="1"/>
  <c r="IR19" i="1"/>
  <c r="GU33" i="1"/>
  <c r="DW22" i="1"/>
  <c r="GI22" i="1" s="1"/>
  <c r="DV22" i="1"/>
  <c r="HD22" i="1"/>
  <c r="HX22" i="1"/>
  <c r="GQ22" i="1"/>
  <c r="JH27" i="1"/>
  <c r="GN27" i="1"/>
  <c r="JI27" i="1" s="1"/>
  <c r="HB27" i="1"/>
  <c r="JD27" i="1" s="1"/>
  <c r="FW11" i="1"/>
  <c r="GA11" i="1" s="1"/>
  <c r="FY9" i="1"/>
  <c r="JF8" i="1"/>
  <c r="EJ8" i="1"/>
  <c r="EK8" i="1" s="1"/>
  <c r="ER8" i="1"/>
  <c r="GF8" i="1"/>
  <c r="BY28" i="1"/>
  <c r="DO28" i="1"/>
  <c r="FK28" i="1"/>
  <c r="FF28" i="1"/>
  <c r="FI28" i="1"/>
  <c r="GP29" i="1"/>
  <c r="GS29" i="1" s="1"/>
  <c r="DC27" i="1"/>
  <c r="FG27" i="1" s="1"/>
  <c r="GP27" i="1" s="1"/>
  <c r="GS27" i="1" s="1"/>
  <c r="EJ27" i="1"/>
  <c r="EK27" i="1" s="1"/>
  <c r="EU27" i="1"/>
  <c r="FA27" i="1" s="1"/>
  <c r="FQ7" i="1"/>
  <c r="IA7" i="1" s="1"/>
  <c r="FT7" i="1"/>
  <c r="EN22" i="1"/>
  <c r="IJ22" i="1"/>
  <c r="GY23" i="1"/>
  <c r="HW23" i="1" s="1"/>
  <c r="FW22" i="1"/>
  <c r="GA22" i="1" s="1"/>
  <c r="FE22" i="1"/>
  <c r="JG22" i="1"/>
  <c r="EI19" i="1"/>
  <c r="HI19" i="1" s="1"/>
  <c r="EK23" i="1"/>
  <c r="EU23" i="1"/>
  <c r="FA23" i="1" s="1"/>
  <c r="EJ23" i="1"/>
  <c r="DC23" i="1"/>
  <c r="FG23" i="1" s="1"/>
  <c r="FT23" i="1"/>
  <c r="FQ23" i="1"/>
  <c r="IA23" i="1" s="1"/>
  <c r="IO7" i="1"/>
  <c r="EQ7" i="1"/>
  <c r="IP7" i="1" s="1"/>
  <c r="EQ28" i="1"/>
  <c r="IP28" i="1" s="1"/>
  <c r="FQ35" i="1"/>
  <c r="FT35" i="1"/>
  <c r="FP17" i="1"/>
  <c r="FS17" i="1"/>
  <c r="GU17" i="1"/>
  <c r="BR10" i="1"/>
  <c r="EC10" i="1" s="1"/>
  <c r="HN10" i="1" s="1"/>
  <c r="BX10" i="1"/>
  <c r="BS10" i="1"/>
  <c r="ED10" i="1" s="1"/>
  <c r="HY10" i="1" s="1"/>
  <c r="DS10" i="1"/>
  <c r="DT10" i="1"/>
  <c r="BW10" i="1"/>
  <c r="DR10" i="1"/>
  <c r="FW34" i="1"/>
  <c r="GA34" i="1" s="1"/>
  <c r="GU19" i="1"/>
  <c r="JF24" i="1"/>
  <c r="FW24" i="1"/>
  <c r="GA24" i="1" s="1"/>
  <c r="GF24" i="1"/>
  <c r="ER24" i="1"/>
  <c r="GW10" i="1"/>
  <c r="JC10" i="1"/>
  <c r="HV10" i="1"/>
  <c r="IR10" i="1"/>
  <c r="BQ10" i="1"/>
  <c r="EU25" i="1"/>
  <c r="FA25" i="1" s="1"/>
  <c r="DC25" i="1"/>
  <c r="FG25" i="1" s="1"/>
  <c r="GP25" i="1" s="1"/>
  <c r="GS25" i="1" s="1"/>
  <c r="GP10" i="1"/>
  <c r="GS10" i="1" s="1"/>
  <c r="GP28" i="1"/>
  <c r="GS28" i="1" s="1"/>
  <c r="HA27" i="1"/>
  <c r="IS27" i="1" s="1"/>
  <c r="IT27" i="1"/>
  <c r="FX27" i="1"/>
  <c r="FR30" i="1"/>
  <c r="FO30" i="1"/>
  <c r="HP30" i="1" s="1"/>
  <c r="FQ28" i="1"/>
  <c r="IA28" i="1" s="1"/>
  <c r="FT28" i="1"/>
  <c r="FQ30" i="1"/>
  <c r="IA30" i="1" s="1"/>
  <c r="FT30" i="1"/>
  <c r="GQ13" i="1"/>
  <c r="DV13" i="1"/>
  <c r="HX13" i="1"/>
  <c r="HD13" i="1"/>
  <c r="DW13" i="1"/>
  <c r="FW13" i="1"/>
  <c r="GA13" i="1" s="1"/>
  <c r="FV13" i="1"/>
  <c r="FY13" i="1"/>
  <c r="GC13" i="1"/>
  <c r="GK13" i="1" s="1"/>
  <c r="IB13" i="1" s="1"/>
  <c r="IZ13" i="1"/>
  <c r="ES13" i="1"/>
  <c r="JA13" i="1" s="1"/>
  <c r="FP12" i="1"/>
  <c r="FS12" i="1"/>
  <c r="EQ20" i="1"/>
  <c r="IP20" i="1" s="1"/>
  <c r="GI31" i="1"/>
  <c r="GU31" i="1"/>
  <c r="GN13" i="1"/>
  <c r="JI13" i="1" s="1"/>
  <c r="JH13" i="1"/>
  <c r="HB13" i="1"/>
  <c r="JD13" i="1" s="1"/>
  <c r="GU21" i="1"/>
  <c r="JH33" i="1"/>
  <c r="HB33" i="1"/>
  <c r="JD33" i="1" s="1"/>
  <c r="GN33" i="1"/>
  <c r="JI33" i="1" s="1"/>
  <c r="BQ22" i="1"/>
  <c r="JC22" i="1"/>
  <c r="IR22" i="1"/>
  <c r="GW22" i="1"/>
  <c r="HV22" i="1"/>
  <c r="FY27" i="1"/>
  <c r="HX8" i="1"/>
  <c r="HD8" i="1"/>
  <c r="DW8" i="1"/>
  <c r="GQ8" i="1"/>
  <c r="GT8" i="1" s="1"/>
  <c r="DV8" i="1"/>
  <c r="FW8" i="1"/>
  <c r="GA8" i="1" s="1"/>
  <c r="FV8" i="1"/>
  <c r="FD11" i="1"/>
  <c r="IV11" i="1"/>
  <c r="IV9" i="1"/>
  <c r="FD9" i="1"/>
  <c r="IU8" i="1"/>
  <c r="EL8" i="1"/>
  <c r="EP8" i="1"/>
  <c r="HV23" i="1"/>
  <c r="IR23" i="1"/>
  <c r="GW23" i="1"/>
  <c r="BQ23" i="1"/>
  <c r="JC23" i="1"/>
  <c r="GW18" i="1"/>
  <c r="HV18" i="1"/>
  <c r="IR18" i="1"/>
  <c r="JC18" i="1"/>
  <c r="BQ18" i="1"/>
  <c r="GU22" i="1"/>
  <c r="DR28" i="1"/>
  <c r="EM14" i="1"/>
  <c r="HT14" i="1" s="1"/>
  <c r="FW14" i="1"/>
  <c r="GA14" i="1" s="1"/>
  <c r="FO21" i="1"/>
  <c r="HP21" i="1" s="1"/>
  <c r="FR21" i="1"/>
  <c r="HC13" i="1"/>
  <c r="GO13" i="1"/>
  <c r="DU13" i="1"/>
  <c r="GG13" i="1" s="1"/>
  <c r="HM13" i="1"/>
  <c r="GB13" i="1"/>
  <c r="GJ13" i="1" s="1"/>
  <c r="HQ13" i="1" s="1"/>
  <c r="HZ25" i="1"/>
  <c r="FB25" i="1"/>
  <c r="HV26" i="1"/>
  <c r="IR26" i="1"/>
  <c r="BQ26" i="1"/>
  <c r="GW26" i="1"/>
  <c r="JC26" i="1"/>
  <c r="FP31" i="1"/>
  <c r="FS31" i="1"/>
  <c r="GP17" i="1"/>
  <c r="GS17" i="1" s="1"/>
  <c r="DO10" i="1"/>
  <c r="BY10" i="1"/>
  <c r="FK10" i="1"/>
  <c r="FF10" i="1"/>
  <c r="FI10" i="1"/>
  <c r="IU24" i="1"/>
  <c r="EP24" i="1"/>
  <c r="EL24" i="1"/>
  <c r="FS27" i="1"/>
  <c r="FP27" i="1"/>
  <c r="EI20" i="1"/>
  <c r="HI20" i="1" s="1"/>
  <c r="GW14" i="1"/>
  <c r="HV14" i="1"/>
  <c r="IR14" i="1"/>
  <c r="BQ14" i="1"/>
  <c r="JC14" i="1"/>
  <c r="FX28" i="1"/>
  <c r="IT28" i="1"/>
  <c r="GU11" i="1"/>
  <c r="IO12" i="1"/>
  <c r="EQ12" i="1"/>
  <c r="IP12" i="1" s="1"/>
  <c r="FO12" i="1"/>
  <c r="HP12" i="1" s="1"/>
  <c r="FR12" i="1"/>
  <c r="GC20" i="1"/>
  <c r="GK20" i="1" s="1"/>
  <c r="IB20" i="1" s="1"/>
  <c r="EZ11" i="1"/>
  <c r="HO11" i="1"/>
  <c r="GC35" i="1"/>
  <c r="GK35" i="1" s="1"/>
  <c r="FO16" i="1"/>
  <c r="HP16" i="1" s="1"/>
  <c r="FR16" i="1"/>
  <c r="GR31" i="1"/>
  <c r="GT31" i="1"/>
  <c r="IU16" i="1"/>
  <c r="EL16" i="1"/>
  <c r="EP16" i="1"/>
  <c r="DB33" i="1"/>
  <c r="EH33" i="1"/>
  <c r="HH33" i="1" s="1"/>
  <c r="ET33" i="1"/>
  <c r="DI33" i="1"/>
  <c r="DL33" i="1" s="1"/>
  <c r="IO13" i="1"/>
  <c r="EQ13" i="1"/>
  <c r="IP13" i="1" s="1"/>
  <c r="HA8" i="1"/>
  <c r="IS8" i="1" s="1"/>
  <c r="IT8" i="1"/>
  <c r="FX8" i="1"/>
  <c r="GE8" i="1"/>
  <c r="FY11" i="1"/>
  <c r="GU9" i="1"/>
  <c r="EZ28" i="1"/>
  <c r="HO28" i="1"/>
  <c r="FS19" i="1"/>
  <c r="FP19" i="1"/>
  <c r="FS7" i="1"/>
  <c r="FP7" i="1"/>
  <c r="FS13" i="1"/>
  <c r="FP13" i="1"/>
  <c r="DV23" i="1"/>
  <c r="GQ23" i="1"/>
  <c r="HX23" i="1"/>
  <c r="HD23" i="1"/>
  <c r="DW23" i="1"/>
  <c r="GI23" i="1" s="1"/>
  <c r="HS31" i="1"/>
  <c r="EM31" i="1"/>
  <c r="HT31" i="1" s="1"/>
  <c r="ER22" i="1"/>
  <c r="EQ14" i="1"/>
  <c r="IP14" i="1" s="1"/>
  <c r="ES14" i="1"/>
  <c r="JA14" i="1" s="1"/>
  <c r="JG32" i="1"/>
  <c r="FE32" i="1"/>
  <c r="IV32" i="1"/>
  <c r="FD32" i="1"/>
  <c r="FJ32" i="1"/>
  <c r="FH32" i="1"/>
  <c r="BN32" i="1"/>
  <c r="FL32" i="1"/>
  <c r="BS32" i="1"/>
  <c r="ED32" i="1" s="1"/>
  <c r="HY32" i="1" s="1"/>
  <c r="FP21" i="1"/>
  <c r="FS21" i="1"/>
  <c r="GZ13" i="1"/>
  <c r="IH13" i="1" s="1"/>
  <c r="DZ13" i="1"/>
  <c r="FU13" i="1"/>
  <c r="II13" i="1"/>
  <c r="GD13" i="1"/>
  <c r="FB28" i="1"/>
  <c r="HZ28" i="1"/>
  <c r="FD25" i="1"/>
  <c r="IV25" i="1"/>
  <c r="FD23" i="1"/>
  <c r="IV23" i="1"/>
  <c r="IT26" i="1"/>
  <c r="FX26" i="1"/>
  <c r="HA26" i="1"/>
  <c r="IS26" i="1" s="1"/>
  <c r="GE26" i="1"/>
  <c r="IZ12" i="1"/>
  <c r="ES12" i="1"/>
  <c r="JA12" i="1" s="1"/>
  <c r="ID12" i="1"/>
  <c r="EO12" i="1"/>
  <c r="IE12" i="1" s="1"/>
  <c r="GP30" i="1"/>
  <c r="GS30" i="1" s="1"/>
  <c r="EF25" i="1"/>
  <c r="EJ25" i="1" s="1"/>
  <c r="EK25" i="1" s="1"/>
  <c r="EG25" i="1"/>
  <c r="BV25" i="1"/>
  <c r="BU25" i="1"/>
  <c r="HO10" i="1"/>
  <c r="EZ10" i="1"/>
  <c r="FV34" i="1"/>
  <c r="DS24" i="1"/>
  <c r="DR24" i="1"/>
  <c r="BX24" i="1"/>
  <c r="BW24" i="1"/>
  <c r="DT24" i="1"/>
  <c r="BS24" i="1"/>
  <c r="ED24" i="1" s="1"/>
  <c r="BR24" i="1"/>
  <c r="EC24" i="1" s="1"/>
  <c r="HA10" i="1"/>
  <c r="IS10" i="1" s="1"/>
  <c r="IT10" i="1"/>
  <c r="FX10" i="1"/>
  <c r="GE10" i="1"/>
  <c r="GR21" i="1"/>
  <c r="GT21" i="1"/>
  <c r="FQ26" i="1"/>
  <c r="IA26" i="1" s="1"/>
  <c r="FT26" i="1"/>
  <c r="GU20" i="1"/>
  <c r="DV27" i="1"/>
  <c r="GH27" i="1" s="1"/>
  <c r="HD27" i="1"/>
  <c r="GQ27" i="1"/>
  <c r="DW27" i="1"/>
  <c r="GI27" i="1" s="1"/>
  <c r="HX27" i="1"/>
  <c r="DB9" i="1"/>
  <c r="EI9" i="1"/>
  <c r="HI9" i="1" s="1"/>
  <c r="EH9" i="1"/>
  <c r="HH9" i="1" s="1"/>
  <c r="DI9" i="1"/>
  <c r="DL9" i="1" s="1"/>
  <c r="ET9" i="1"/>
  <c r="FS16" i="1"/>
  <c r="FP16" i="1"/>
  <c r="GU7" i="1"/>
  <c r="GM31" i="1"/>
  <c r="IX31" i="1" s="1"/>
  <c r="IW31" i="1"/>
  <c r="GU13" i="1"/>
  <c r="HA22" i="1"/>
  <c r="IS22" i="1" s="1"/>
  <c r="IT22" i="1"/>
  <c r="FX22" i="1"/>
  <c r="JC8" i="1"/>
  <c r="BQ8" i="1"/>
  <c r="IR8" i="1"/>
  <c r="HV8" i="1"/>
  <c r="GW8" i="1"/>
  <c r="JG11" i="1"/>
  <c r="FE11" i="1"/>
  <c r="BY32" i="1"/>
  <c r="DO32" i="1"/>
  <c r="FF32" i="1"/>
  <c r="FK32" i="1"/>
  <c r="DR32" i="1"/>
  <c r="FI32" i="1"/>
  <c r="EJ29" i="1"/>
  <c r="EK29" i="1" s="1"/>
  <c r="FQ13" i="1"/>
  <c r="IA13" i="1" s="1"/>
  <c r="FT13" i="1"/>
  <c r="IT23" i="1"/>
  <c r="HA23" i="1"/>
  <c r="IS23" i="1" s="1"/>
  <c r="FX23" i="1"/>
  <c r="IO31" i="1"/>
  <c r="EQ31" i="1"/>
  <c r="IP31" i="1" s="1"/>
  <c r="FD22" i="1"/>
  <c r="IV22" i="1"/>
  <c r="ID28" i="1"/>
  <c r="EO28" i="1"/>
  <c r="IE28" i="1" s="1"/>
  <c r="FS28" i="1"/>
  <c r="FP28" i="1"/>
  <c r="GC14" i="1"/>
  <c r="GK14" i="1" s="1"/>
  <c r="IB14" i="1" s="1"/>
  <c r="FY14" i="1"/>
  <c r="EQ32" i="1"/>
  <c r="IP32" i="1" s="1"/>
  <c r="HB18" i="1"/>
  <c r="JD18" i="1" s="1"/>
  <c r="GN18" i="1"/>
  <c r="JI18" i="1" s="1"/>
  <c r="JH18" i="1"/>
  <c r="HY21" i="1"/>
  <c r="FY21" i="1"/>
  <c r="GC21" i="1"/>
  <c r="FE28" i="1"/>
  <c r="JG28" i="1"/>
  <c r="ES28" i="1"/>
  <c r="JA28" i="1" s="1"/>
  <c r="GF23" i="1"/>
  <c r="EM23" i="1"/>
  <c r="HT23" i="1" s="1"/>
  <c r="DV26" i="1"/>
  <c r="GQ26" i="1"/>
  <c r="HX26" i="1"/>
  <c r="HD26" i="1"/>
  <c r="DW26" i="1"/>
  <c r="GC26" i="1"/>
  <c r="GK26" i="1" s="1"/>
  <c r="IB26" i="1" s="1"/>
  <c r="FY26" i="1"/>
  <c r="FW26" i="1"/>
  <c r="GA26" i="1" s="1"/>
  <c r="FV26" i="1"/>
  <c r="EH22" i="1"/>
  <c r="HH22" i="1" s="1"/>
  <c r="DI22" i="1"/>
  <c r="DL22" i="1" s="1"/>
  <c r="ET22" i="1"/>
  <c r="DB22" i="1"/>
  <c r="JF10" i="1"/>
  <c r="ER10" i="1"/>
  <c r="GF10" i="1"/>
  <c r="DR20" i="1"/>
  <c r="GY12" i="1"/>
  <c r="HW12" i="1" s="1"/>
  <c r="DS33" i="1"/>
  <c r="GX12" i="1"/>
  <c r="HL12" i="1" s="1"/>
  <c r="HC12" i="1"/>
  <c r="GO12" i="1"/>
  <c r="GB12" i="1"/>
  <c r="GJ12" i="1" s="1"/>
  <c r="HQ12" i="1" s="1"/>
  <c r="DU12" i="1"/>
  <c r="GG12" i="1" s="1"/>
  <c r="HM12" i="1"/>
  <c r="FP32" i="1"/>
  <c r="FS32" i="1"/>
  <c r="HH30" i="1"/>
  <c r="EI30" i="1"/>
  <c r="HI30" i="1" s="1"/>
  <c r="IC21" i="1"/>
  <c r="GV21" i="1"/>
  <c r="JF16" i="1"/>
  <c r="EJ16" i="1"/>
  <c r="EK16" i="1" s="1"/>
  <c r="GF16" i="1"/>
  <c r="ER16" i="1"/>
  <c r="JG9" i="1"/>
  <c r="FE9" i="1"/>
  <c r="HH21" i="1"/>
  <c r="EI21" i="1"/>
  <c r="HI21" i="1" s="1"/>
  <c r="IZ31" i="1"/>
  <c r="ES31" i="1"/>
  <c r="JA31" i="1" s="1"/>
  <c r="GB31" i="1"/>
  <c r="GJ31" i="1" s="1"/>
  <c r="HQ31" i="1" s="1"/>
  <c r="DU31" i="1"/>
  <c r="GG31" i="1" s="1"/>
  <c r="HC31" i="1"/>
  <c r="GO31" i="1"/>
  <c r="HM31" i="1"/>
  <c r="GX31" i="1"/>
  <c r="HL31" i="1" s="1"/>
  <c r="FD28" i="1"/>
  <c r="IV28" i="1"/>
  <c r="FB9" i="1"/>
  <c r="HZ9" i="1"/>
  <c r="IO30" i="1"/>
  <c r="EQ30" i="1"/>
  <c r="IP30" i="1" s="1"/>
  <c r="FT12" i="1"/>
  <c r="FQ12" i="1"/>
  <c r="IA12" i="1" s="1"/>
  <c r="HV27" i="1"/>
  <c r="IR27" i="1"/>
  <c r="JC27" i="1"/>
  <c r="GW27" i="1"/>
  <c r="BQ27" i="1"/>
  <c r="DP9" i="1"/>
  <c r="DS9" i="1"/>
  <c r="EI11" i="1"/>
  <c r="HI11" i="1" s="1"/>
  <c r="GW28" i="1"/>
  <c r="HV28" i="1"/>
  <c r="BQ28" i="1"/>
  <c r="IR28" i="1"/>
  <c r="JC28" i="1"/>
  <c r="GZ21" i="1"/>
  <c r="IH21" i="1" s="1"/>
  <c r="HS7" i="1"/>
  <c r="EM7" i="1"/>
  <c r="HT7" i="1" s="1"/>
  <c r="HA31" i="1"/>
  <c r="IS31" i="1" s="1"/>
  <c r="FT25" i="1"/>
  <c r="FQ25" i="1"/>
  <c r="IA25" i="1" s="1"/>
  <c r="EQ33" i="1"/>
  <c r="IP33" i="1" s="1"/>
  <c r="FB33" i="1"/>
  <c r="HZ33" i="1"/>
  <c r="FD27" i="1"/>
  <c r="IV27" i="1"/>
  <c r="GC11" i="1"/>
  <c r="GK11" i="1" s="1"/>
  <c r="IB11" i="1" s="1"/>
  <c r="EI32" i="1"/>
  <c r="HI32" i="1" s="1"/>
  <c r="HV9" i="1"/>
  <c r="IR9" i="1"/>
  <c r="JC9" i="1"/>
  <c r="GW9" i="1"/>
  <c r="BQ9" i="1"/>
  <c r="FR13" i="1"/>
  <c r="FO13" i="1"/>
  <c r="HP13" i="1" s="1"/>
  <c r="GF22" i="1"/>
  <c r="JG14" i="1"/>
  <c r="FE14" i="1"/>
  <c r="FB14" i="1"/>
  <c r="HZ14" i="1"/>
  <c r="GB30" i="1"/>
  <c r="GJ30" i="1" s="1"/>
  <c r="HQ30" i="1" s="1"/>
  <c r="GO30" i="1"/>
  <c r="DU30" i="1"/>
  <c r="GG30" i="1" s="1"/>
  <c r="HC30" i="1"/>
  <c r="HM30" i="1"/>
  <c r="IZ18" i="1"/>
  <c r="ES18" i="1"/>
  <c r="JA18" i="1" s="1"/>
  <c r="ID13" i="1"/>
  <c r="EO13" i="1"/>
  <c r="IE13" i="1" s="1"/>
  <c r="DW24" i="1"/>
  <c r="EO33" i="1"/>
  <c r="IE33" i="1" s="1"/>
  <c r="ID33" i="1"/>
  <c r="GE28" i="1"/>
  <c r="HA28" i="1" s="1"/>
  <c r="IS28" i="1" s="1"/>
  <c r="FW28" i="1"/>
  <c r="GA28" i="1" s="1"/>
  <c r="GE25" i="1"/>
  <c r="FY25" i="1"/>
  <c r="JG23" i="1"/>
  <c r="FE23" i="1"/>
  <c r="IT16" i="1"/>
  <c r="FX16" i="1"/>
  <c r="GE16" i="1"/>
  <c r="GY34" i="1"/>
  <c r="FT31" i="1"/>
  <c r="FQ31" i="1"/>
  <c r="IA31" i="1" s="1"/>
  <c r="DR17" i="1"/>
  <c r="ID20" i="1"/>
  <c r="EO20" i="1"/>
  <c r="IE20" i="1" s="1"/>
  <c r="BV15" i="1"/>
  <c r="EF15" i="1"/>
  <c r="EJ15" i="1" s="1"/>
  <c r="EK15" i="1" s="1"/>
  <c r="EG15" i="1"/>
  <c r="BU15" i="1"/>
  <c r="EH10" i="1"/>
  <c r="IR12" i="1"/>
  <c r="JC12" i="1"/>
  <c r="GW12" i="1"/>
  <c r="BQ12" i="1"/>
  <c r="HV12" i="1"/>
  <c r="FQ33" i="1"/>
  <c r="IA33" i="1" s="1"/>
  <c r="FT33" i="1"/>
  <c r="DZ12" i="1"/>
  <c r="GZ12" i="1"/>
  <c r="IH12" i="1" s="1"/>
  <c r="FU12" i="1"/>
  <c r="II12" i="1"/>
  <c r="GD12" i="1"/>
  <c r="GP22" i="1"/>
  <c r="GS22" i="1" s="1"/>
  <c r="GT29" i="1" l="1"/>
  <c r="GR29" i="1"/>
  <c r="GT11" i="1"/>
  <c r="GR11" i="1"/>
  <c r="EZ25" i="1"/>
  <c r="HO25" i="1"/>
  <c r="FR14" i="1"/>
  <c r="FO14" i="1"/>
  <c r="HP14" i="1" s="1"/>
  <c r="GX30" i="1"/>
  <c r="HL30" i="1" s="1"/>
  <c r="GY7" i="1"/>
  <c r="HW7" i="1" s="1"/>
  <c r="FR20" i="1"/>
  <c r="FO20" i="1"/>
  <c r="HP20" i="1" s="1"/>
  <c r="FR32" i="1"/>
  <c r="FO32" i="1"/>
  <c r="HP32" i="1" s="1"/>
  <c r="IW10" i="1"/>
  <c r="GM10" i="1"/>
  <c r="IX10" i="1" s="1"/>
  <c r="GN24" i="1"/>
  <c r="JI24" i="1" s="1"/>
  <c r="JH24" i="1"/>
  <c r="HB24" i="1"/>
  <c r="JD24" i="1" s="1"/>
  <c r="GP33" i="1"/>
  <c r="GS33" i="1" s="1"/>
  <c r="EI25" i="1"/>
  <c r="HI25" i="1" s="1"/>
  <c r="FW25" i="1"/>
  <c r="GA25" i="1" s="1"/>
  <c r="EI27" i="1"/>
  <c r="HI27" i="1" s="1"/>
  <c r="HO15" i="1"/>
  <c r="EZ15" i="1"/>
  <c r="FZ18" i="1"/>
  <c r="GH18" i="1"/>
  <c r="GM21" i="1"/>
  <c r="IX21" i="1" s="1"/>
  <c r="IW21" i="1"/>
  <c r="HA21" i="1"/>
  <c r="IS21" i="1" s="1"/>
  <c r="GH19" i="1"/>
  <c r="FZ19" i="1"/>
  <c r="FR8" i="1"/>
  <c r="FO8" i="1"/>
  <c r="HP8" i="1" s="1"/>
  <c r="GO8" i="1"/>
  <c r="GI30" i="1"/>
  <c r="GU30" i="1"/>
  <c r="GD26" i="1"/>
  <c r="GZ26" i="1"/>
  <c r="IH26" i="1" s="1"/>
  <c r="FU26" i="1"/>
  <c r="II26" i="1"/>
  <c r="DZ26" i="1"/>
  <c r="FP29" i="1"/>
  <c r="FS29" i="1"/>
  <c r="FZ7" i="1"/>
  <c r="GH7" i="1"/>
  <c r="GT25" i="1"/>
  <c r="GY9" i="1"/>
  <c r="HW9" i="1" s="1"/>
  <c r="IO24" i="1"/>
  <c r="EQ24" i="1"/>
  <c r="IP24" i="1" s="1"/>
  <c r="HO23" i="1"/>
  <c r="EZ23" i="1"/>
  <c r="GT26" i="1"/>
  <c r="GR26" i="1"/>
  <c r="GT27" i="1"/>
  <c r="GR27" i="1"/>
  <c r="HN24" i="1"/>
  <c r="FX24" i="1"/>
  <c r="GB24" i="1"/>
  <c r="IU25" i="1"/>
  <c r="EP25" i="1"/>
  <c r="EL25" i="1"/>
  <c r="FV25" i="1"/>
  <c r="IZ22" i="1"/>
  <c r="ES22" i="1"/>
  <c r="JA22" i="1" s="1"/>
  <c r="IL24" i="1"/>
  <c r="GL24" i="1"/>
  <c r="IM24" i="1" s="1"/>
  <c r="GZ24" i="1"/>
  <c r="IH24" i="1" s="1"/>
  <c r="FU29" i="1"/>
  <c r="GD29" i="1"/>
  <c r="II29" i="1"/>
  <c r="DZ29" i="1"/>
  <c r="FZ9" i="1"/>
  <c r="GH9" i="1"/>
  <c r="GY11" i="1"/>
  <c r="HW11" i="1" s="1"/>
  <c r="GU34" i="1"/>
  <c r="FZ22" i="1"/>
  <c r="GH22" i="1"/>
  <c r="GK31" i="1"/>
  <c r="IB31" i="1" s="1"/>
  <c r="GY31" i="1"/>
  <c r="HW31" i="1" s="1"/>
  <c r="FT8" i="1"/>
  <c r="FQ8" i="1"/>
  <c r="IA8" i="1" s="1"/>
  <c r="GD19" i="1"/>
  <c r="II19" i="1"/>
  <c r="FU19" i="1"/>
  <c r="DZ19" i="1"/>
  <c r="GZ19" i="1"/>
  <c r="IH19" i="1" s="1"/>
  <c r="IW17" i="1"/>
  <c r="GM17" i="1"/>
  <c r="IX17" i="1" s="1"/>
  <c r="IW20" i="1"/>
  <c r="GM20" i="1"/>
  <c r="IX20" i="1" s="1"/>
  <c r="GY29" i="1"/>
  <c r="HW29" i="1" s="1"/>
  <c r="II14" i="1"/>
  <c r="DZ14" i="1"/>
  <c r="GD14" i="1"/>
  <c r="GZ14" i="1"/>
  <c r="IH14" i="1" s="1"/>
  <c r="FU14" i="1"/>
  <c r="HM17" i="1"/>
  <c r="GB17" i="1"/>
  <c r="GJ17" i="1" s="1"/>
  <c r="HQ17" i="1" s="1"/>
  <c r="HC17" i="1"/>
  <c r="GO17" i="1"/>
  <c r="GX17" i="1"/>
  <c r="HL17" i="1" s="1"/>
  <c r="DU17" i="1"/>
  <c r="GG17" i="1" s="1"/>
  <c r="IW25" i="1"/>
  <c r="GM25" i="1"/>
  <c r="IX25" i="1" s="1"/>
  <c r="GI26" i="1"/>
  <c r="GU26" i="1"/>
  <c r="FU11" i="1"/>
  <c r="GD11" i="1"/>
  <c r="DZ11" i="1"/>
  <c r="GZ11" i="1"/>
  <c r="IH11" i="1" s="1"/>
  <c r="II11" i="1"/>
  <c r="HO27" i="1"/>
  <c r="EZ27" i="1"/>
  <c r="GN32" i="1"/>
  <c r="JI32" i="1" s="1"/>
  <c r="HB32" i="1"/>
  <c r="JD32" i="1" s="1"/>
  <c r="JH32" i="1"/>
  <c r="BY35" i="1"/>
  <c r="DO35" i="1"/>
  <c r="FK35" i="1"/>
  <c r="FF35" i="1"/>
  <c r="FI35" i="1"/>
  <c r="DR35" i="1"/>
  <c r="FF23" i="1"/>
  <c r="DO23" i="1"/>
  <c r="BY23" i="1"/>
  <c r="FK23" i="1"/>
  <c r="FI23" i="1"/>
  <c r="DR23" i="1"/>
  <c r="JH29" i="1"/>
  <c r="HB29" i="1"/>
  <c r="JD29" i="1" s="1"/>
  <c r="GN29" i="1"/>
  <c r="JI29" i="1" s="1"/>
  <c r="IW16" i="1"/>
  <c r="GM16" i="1"/>
  <c r="IX16" i="1" s="1"/>
  <c r="HY24" i="1"/>
  <c r="FY24" i="1"/>
  <c r="GC24" i="1"/>
  <c r="JF25" i="1"/>
  <c r="GF25" i="1"/>
  <c r="ER25" i="1"/>
  <c r="BY33" i="1"/>
  <c r="DO33" i="1"/>
  <c r="FK33" i="1"/>
  <c r="FF33" i="1"/>
  <c r="FI33" i="1"/>
  <c r="DR33" i="1"/>
  <c r="FR10" i="1"/>
  <c r="FO10" i="1"/>
  <c r="HP10" i="1" s="1"/>
  <c r="HH24" i="1"/>
  <c r="EI24" i="1"/>
  <c r="HI24" i="1" s="1"/>
  <c r="GR18" i="1"/>
  <c r="GT18" i="1"/>
  <c r="FU20" i="1"/>
  <c r="GD20" i="1"/>
  <c r="GZ20" i="1"/>
  <c r="IH20" i="1" s="1"/>
  <c r="DZ20" i="1"/>
  <c r="II20" i="1"/>
  <c r="IZ19" i="1"/>
  <c r="ES19" i="1"/>
  <c r="JA19" i="1" s="1"/>
  <c r="GC22" i="1"/>
  <c r="GY13" i="1"/>
  <c r="HW13" i="1" s="1"/>
  <c r="DU19" i="1"/>
  <c r="GG19" i="1" s="1"/>
  <c r="HM19" i="1"/>
  <c r="GB19" i="1"/>
  <c r="GJ19" i="1" s="1"/>
  <c r="HQ19" i="1" s="1"/>
  <c r="GO19" i="1"/>
  <c r="HC19" i="1"/>
  <c r="GR33" i="1"/>
  <c r="GT33" i="1"/>
  <c r="HA34" i="1"/>
  <c r="HC14" i="1"/>
  <c r="HM14" i="1"/>
  <c r="DU14" i="1"/>
  <c r="GG14" i="1" s="1"/>
  <c r="GB14" i="1"/>
  <c r="GJ14" i="1" s="1"/>
  <c r="HQ14" i="1" s="1"/>
  <c r="GO14" i="1"/>
  <c r="GR17" i="1"/>
  <c r="GT17" i="1"/>
  <c r="II17" i="1"/>
  <c r="FU17" i="1"/>
  <c r="GD17" i="1"/>
  <c r="DZ17" i="1"/>
  <c r="GI7" i="1"/>
  <c r="FZ21" i="1"/>
  <c r="GH21" i="1"/>
  <c r="FZ23" i="1"/>
  <c r="GH23" i="1"/>
  <c r="IZ10" i="1"/>
  <c r="ES10" i="1"/>
  <c r="JA10" i="1" s="1"/>
  <c r="HS24" i="1"/>
  <c r="EM24" i="1"/>
  <c r="HT24" i="1" s="1"/>
  <c r="FY8" i="1"/>
  <c r="IW19" i="1"/>
  <c r="GM19" i="1"/>
  <c r="IX19" i="1" s="1"/>
  <c r="GM29" i="1"/>
  <c r="IX29" i="1" s="1"/>
  <c r="IW29" i="1"/>
  <c r="GM28" i="1"/>
  <c r="IX28" i="1" s="1"/>
  <c r="IW28" i="1"/>
  <c r="EZ22" i="1"/>
  <c r="HO22" i="1"/>
  <c r="GL12" i="1"/>
  <c r="IM12" i="1" s="1"/>
  <c r="IL12" i="1"/>
  <c r="HH10" i="1"/>
  <c r="EI10" i="1"/>
  <c r="HI10" i="1" s="1"/>
  <c r="GI24" i="1"/>
  <c r="GU24" i="1"/>
  <c r="IZ16" i="1"/>
  <c r="ES16" i="1"/>
  <c r="JA16" i="1" s="1"/>
  <c r="DO22" i="1"/>
  <c r="GR22" i="1" s="1"/>
  <c r="BY22" i="1"/>
  <c r="FK22" i="1"/>
  <c r="FF22" i="1"/>
  <c r="FI22" i="1"/>
  <c r="FT24" i="1"/>
  <c r="FQ24" i="1"/>
  <c r="IA24" i="1" s="1"/>
  <c r="GQ24" i="1"/>
  <c r="IT32" i="1"/>
  <c r="FX32" i="1"/>
  <c r="HA32" i="1"/>
  <c r="IS32" i="1" s="1"/>
  <c r="GE32" i="1"/>
  <c r="EI33" i="1"/>
  <c r="HI33" i="1" s="1"/>
  <c r="HC10" i="1"/>
  <c r="GO10" i="1"/>
  <c r="HM10" i="1"/>
  <c r="GB10" i="1"/>
  <c r="GJ10" i="1" s="1"/>
  <c r="HQ10" i="1" s="1"/>
  <c r="GX10" i="1"/>
  <c r="HL10" i="1" s="1"/>
  <c r="DU10" i="1"/>
  <c r="GG10" i="1" s="1"/>
  <c r="FR28" i="1"/>
  <c r="FO28" i="1"/>
  <c r="HP28" i="1" s="1"/>
  <c r="IO8" i="1"/>
  <c r="EQ8" i="1"/>
  <c r="IP8" i="1" s="1"/>
  <c r="GY18" i="1"/>
  <c r="HW18" i="1" s="1"/>
  <c r="HC28" i="1"/>
  <c r="GO28" i="1"/>
  <c r="GB28" i="1"/>
  <c r="GJ28" i="1" s="1"/>
  <c r="HQ28" i="1" s="1"/>
  <c r="DU28" i="1"/>
  <c r="GG28" i="1" s="1"/>
  <c r="HM28" i="1"/>
  <c r="GC10" i="1"/>
  <c r="ID24" i="1"/>
  <c r="EO24" i="1"/>
  <c r="IE24" i="1" s="1"/>
  <c r="GM18" i="1"/>
  <c r="IX18" i="1" s="1"/>
  <c r="IW18" i="1"/>
  <c r="ID8" i="1"/>
  <c r="EO8" i="1"/>
  <c r="IE8" i="1" s="1"/>
  <c r="GB29" i="1"/>
  <c r="GJ29" i="1" s="1"/>
  <c r="HQ29" i="1" s="1"/>
  <c r="HC29" i="1"/>
  <c r="GO29" i="1"/>
  <c r="HM29" i="1"/>
  <c r="DU29" i="1"/>
  <c r="GG29" i="1" s="1"/>
  <c r="GY20" i="1"/>
  <c r="HW20" i="1" s="1"/>
  <c r="GH30" i="1"/>
  <c r="FZ30" i="1"/>
  <c r="GY17" i="1"/>
  <c r="HW17" i="1" s="1"/>
  <c r="HB10" i="1"/>
  <c r="JD10" i="1" s="1"/>
  <c r="GN10" i="1"/>
  <c r="JI10" i="1" s="1"/>
  <c r="JH10" i="1"/>
  <c r="IC13" i="1"/>
  <c r="GV13" i="1"/>
  <c r="GH8" i="1"/>
  <c r="FZ8" i="1"/>
  <c r="GR10" i="1"/>
  <c r="GT10" i="1"/>
  <c r="IC24" i="1"/>
  <c r="GV24" i="1"/>
  <c r="IZ29" i="1"/>
  <c r="ES29" i="1"/>
  <c r="JA29" i="1" s="1"/>
  <c r="HA16" i="1"/>
  <c r="IS16" i="1" s="1"/>
  <c r="JH16" i="1"/>
  <c r="HB16" i="1"/>
  <c r="JD16" i="1" s="1"/>
  <c r="GN16" i="1"/>
  <c r="JI16" i="1" s="1"/>
  <c r="HB23" i="1"/>
  <c r="JD23" i="1" s="1"/>
  <c r="JH23" i="1"/>
  <c r="GN23" i="1"/>
  <c r="JI23" i="1" s="1"/>
  <c r="HV32" i="1"/>
  <c r="IR32" i="1"/>
  <c r="JC32" i="1"/>
  <c r="BQ32" i="1"/>
  <c r="GW32" i="1"/>
  <c r="EZ33" i="1"/>
  <c r="HO33" i="1"/>
  <c r="FU10" i="1"/>
  <c r="GD10" i="1"/>
  <c r="II10" i="1"/>
  <c r="DZ10" i="1"/>
  <c r="HS8" i="1"/>
  <c r="EM8" i="1"/>
  <c r="HT8" i="1" s="1"/>
  <c r="GI8" i="1"/>
  <c r="GU8" i="1"/>
  <c r="FQ10" i="1"/>
  <c r="IA10" i="1" s="1"/>
  <c r="FT10" i="1"/>
  <c r="GD28" i="1"/>
  <c r="GZ28" i="1"/>
  <c r="IH28" i="1" s="1"/>
  <c r="FU28" i="1"/>
  <c r="DZ28" i="1"/>
  <c r="II28" i="1"/>
  <c r="GH10" i="1"/>
  <c r="FZ10" i="1"/>
  <c r="GY33" i="1"/>
  <c r="HW33" i="1" s="1"/>
  <c r="DU20" i="1"/>
  <c r="GG20" i="1" s="1"/>
  <c r="HC20" i="1"/>
  <c r="GO20" i="1"/>
  <c r="GB20" i="1"/>
  <c r="GJ20" i="1" s="1"/>
  <c r="HQ20" i="1" s="1"/>
  <c r="GX20" i="1"/>
  <c r="HL20" i="1" s="1"/>
  <c r="HM20" i="1"/>
  <c r="FP35" i="1"/>
  <c r="FS35" i="1"/>
  <c r="HB19" i="1"/>
  <c r="JD19" i="1" s="1"/>
  <c r="JH19" i="1"/>
  <c r="GN19" i="1"/>
  <c r="JI19" i="1" s="1"/>
  <c r="DR22" i="1"/>
  <c r="IO19" i="1"/>
  <c r="EQ19" i="1"/>
  <c r="IP19" i="1" s="1"/>
  <c r="HA35" i="1"/>
  <c r="GI29" i="1"/>
  <c r="GU29" i="1"/>
  <c r="HA17" i="1"/>
  <c r="IS17" i="1" s="1"/>
  <c r="GT14" i="1"/>
  <c r="GR14" i="1"/>
  <c r="GH16" i="1"/>
  <c r="FZ16" i="1"/>
  <c r="EO10" i="1"/>
  <c r="IE10" i="1" s="1"/>
  <c r="ID10" i="1"/>
  <c r="IL30" i="1"/>
  <c r="GL30" i="1"/>
  <c r="IM30" i="1" s="1"/>
  <c r="GT7" i="1"/>
  <c r="GR7" i="1"/>
  <c r="FY22" i="1"/>
  <c r="GT20" i="1"/>
  <c r="GR20" i="1"/>
  <c r="GT16" i="1"/>
  <c r="GR16" i="1"/>
  <c r="IC8" i="1"/>
  <c r="GV8" i="1"/>
  <c r="GM30" i="1"/>
  <c r="IX30" i="1" s="1"/>
  <c r="IW30" i="1"/>
  <c r="GL8" i="1"/>
  <c r="IM8" i="1" s="1"/>
  <c r="IL8" i="1"/>
  <c r="GZ8" i="1"/>
  <c r="IH8" i="1" s="1"/>
  <c r="IU15" i="1"/>
  <c r="EL15" i="1"/>
  <c r="EP15" i="1"/>
  <c r="EI22" i="1"/>
  <c r="HI22" i="1" s="1"/>
  <c r="DV32" i="1"/>
  <c r="HD32" i="1"/>
  <c r="DW32" i="1"/>
  <c r="HX32" i="1"/>
  <c r="GQ32" i="1"/>
  <c r="GC32" i="1"/>
  <c r="GK32" i="1" s="1"/>
  <c r="IB32" i="1" s="1"/>
  <c r="FY32" i="1"/>
  <c r="FV32" i="1"/>
  <c r="FW32" i="1"/>
  <c r="GA32" i="1" s="1"/>
  <c r="GH13" i="1"/>
  <c r="FZ13" i="1"/>
  <c r="FS10" i="1"/>
  <c r="FP10" i="1"/>
  <c r="GT22" i="1"/>
  <c r="GX18" i="1"/>
  <c r="HL18" i="1" s="1"/>
  <c r="GI18" i="1"/>
  <c r="GM7" i="1"/>
  <c r="IX7" i="1" s="1"/>
  <c r="IW7" i="1"/>
  <c r="IO29" i="1"/>
  <c r="EQ29" i="1"/>
  <c r="IP29" i="1" s="1"/>
  <c r="HS19" i="1"/>
  <c r="EM19" i="1"/>
  <c r="HT19" i="1" s="1"/>
  <c r="JH21" i="1"/>
  <c r="HB21" i="1"/>
  <c r="JD21" i="1" s="1"/>
  <c r="GN21" i="1"/>
  <c r="JI21" i="1" s="1"/>
  <c r="GY14" i="1"/>
  <c r="HW14" i="1" s="1"/>
  <c r="HA25" i="1"/>
  <c r="IS25" i="1" s="1"/>
  <c r="FO17" i="1"/>
  <c r="HP17" i="1" s="1"/>
  <c r="FR17" i="1"/>
  <c r="FS9" i="1"/>
  <c r="FP9" i="1"/>
  <c r="GT19" i="1"/>
  <c r="GR19" i="1"/>
  <c r="GH29" i="1"/>
  <c r="FZ29" i="1"/>
  <c r="JF15" i="1"/>
  <c r="ER15" i="1"/>
  <c r="GF15" i="1"/>
  <c r="GY26" i="1"/>
  <c r="HW26" i="1" s="1"/>
  <c r="HB22" i="1"/>
  <c r="JD22" i="1" s="1"/>
  <c r="GN22" i="1"/>
  <c r="JI22" i="1" s="1"/>
  <c r="JH22" i="1"/>
  <c r="GH26" i="1"/>
  <c r="FZ26" i="1"/>
  <c r="EZ9" i="1"/>
  <c r="HO9" i="1"/>
  <c r="FO24" i="1"/>
  <c r="HP24" i="1" s="1"/>
  <c r="FR24" i="1"/>
  <c r="GO24" i="1"/>
  <c r="GU12" i="1"/>
  <c r="GY32" i="1"/>
  <c r="HW32" i="1" s="1"/>
  <c r="ID22" i="1"/>
  <c r="EO22" i="1"/>
  <c r="IE22" i="1" s="1"/>
  <c r="FR11" i="1"/>
  <c r="FO11" i="1"/>
  <c r="HP11" i="1" s="1"/>
  <c r="DO15" i="1"/>
  <c r="BY15" i="1"/>
  <c r="FK15" i="1"/>
  <c r="FF15" i="1"/>
  <c r="FI15" i="1"/>
  <c r="DR15" i="1"/>
  <c r="FO7" i="1"/>
  <c r="HP7" i="1" s="1"/>
  <c r="FR7" i="1"/>
  <c r="FS34" i="1"/>
  <c r="FP34" i="1"/>
  <c r="HS29" i="1"/>
  <c r="EM29" i="1"/>
  <c r="HT29" i="1" s="1"/>
  <c r="GP9" i="1"/>
  <c r="GS9" i="1" s="1"/>
  <c r="GP34" i="1"/>
  <c r="GS34" i="1" s="1"/>
  <c r="HM7" i="1"/>
  <c r="GB7" i="1"/>
  <c r="GJ7" i="1" s="1"/>
  <c r="HQ7" i="1" s="1"/>
  <c r="GO7" i="1"/>
  <c r="HC7" i="1"/>
  <c r="DU7" i="1"/>
  <c r="GG7" i="1" s="1"/>
  <c r="ID29" i="1"/>
  <c r="EO29" i="1"/>
  <c r="IE29" i="1" s="1"/>
  <c r="IL31" i="1"/>
  <c r="GL31" i="1"/>
  <c r="IM31" i="1" s="1"/>
  <c r="GY35" i="1"/>
  <c r="GI14" i="1"/>
  <c r="GI28" i="1"/>
  <c r="IT15" i="1"/>
  <c r="FX15" i="1"/>
  <c r="GE15" i="1"/>
  <c r="FU32" i="1"/>
  <c r="GD32" i="1"/>
  <c r="DZ32" i="1"/>
  <c r="II32" i="1"/>
  <c r="HH8" i="1"/>
  <c r="EI8" i="1"/>
  <c r="HI8" i="1" s="1"/>
  <c r="GB32" i="1"/>
  <c r="GJ32" i="1" s="1"/>
  <c r="HQ32" i="1" s="1"/>
  <c r="HC32" i="1"/>
  <c r="HM32" i="1"/>
  <c r="DU32" i="1"/>
  <c r="GG32" i="1" s="1"/>
  <c r="GX32" i="1"/>
  <c r="HL32" i="1" s="1"/>
  <c r="GO32" i="1"/>
  <c r="GT13" i="1"/>
  <c r="GR13" i="1"/>
  <c r="IL18" i="1"/>
  <c r="GL18" i="1"/>
  <c r="IM18" i="1" s="1"/>
  <c r="GT35" i="1"/>
  <c r="GR35" i="1"/>
  <c r="GC8" i="1"/>
  <c r="HA19" i="1"/>
  <c r="IS19" i="1" s="1"/>
  <c r="GT34" i="1"/>
  <c r="GR34" i="1"/>
  <c r="IC12" i="1"/>
  <c r="GV12" i="1"/>
  <c r="GU27" i="1"/>
  <c r="FS33" i="1"/>
  <c r="FP33" i="1"/>
  <c r="BY9" i="1"/>
  <c r="DO9" i="1"/>
  <c r="GR9" i="1" s="1"/>
  <c r="FF9" i="1"/>
  <c r="FK9" i="1"/>
  <c r="DR9" i="1"/>
  <c r="FI9" i="1"/>
  <c r="FP24" i="1"/>
  <c r="FS24" i="1"/>
  <c r="GL13" i="1"/>
  <c r="IM13" i="1" s="1"/>
  <c r="IL13" i="1"/>
  <c r="GR23" i="1"/>
  <c r="GT23" i="1"/>
  <c r="GM8" i="1"/>
  <c r="IX8" i="1" s="1"/>
  <c r="IW8" i="1"/>
  <c r="IO16" i="1"/>
  <c r="EQ16" i="1"/>
  <c r="IP16" i="1" s="1"/>
  <c r="GI13" i="1"/>
  <c r="GP23" i="1"/>
  <c r="GS23" i="1" s="1"/>
  <c r="HB8" i="1"/>
  <c r="JD8" i="1" s="1"/>
  <c r="JH8" i="1"/>
  <c r="GN8" i="1"/>
  <c r="JI8" i="1" s="1"/>
  <c r="GU23" i="1"/>
  <c r="HS21" i="1"/>
  <c r="EM21" i="1"/>
  <c r="HT21" i="1" s="1"/>
  <c r="FT22" i="1"/>
  <c r="FQ22" i="1"/>
  <c r="IA22" i="1" s="1"/>
  <c r="GI11" i="1"/>
  <c r="GU16" i="1"/>
  <c r="GD7" i="1"/>
  <c r="DZ7" i="1"/>
  <c r="FU7" i="1"/>
  <c r="II7" i="1"/>
  <c r="GZ7" i="1"/>
  <c r="IH7" i="1" s="1"/>
  <c r="GT30" i="1"/>
  <c r="GR30" i="1"/>
  <c r="HC26" i="1"/>
  <c r="GO26" i="1"/>
  <c r="DU26" i="1"/>
  <c r="GG26" i="1" s="1"/>
  <c r="HM26" i="1"/>
  <c r="GB26" i="1"/>
  <c r="GJ26" i="1" s="1"/>
  <c r="HQ26" i="1" s="1"/>
  <c r="HS10" i="1"/>
  <c r="EM10" i="1"/>
  <c r="HT10" i="1" s="1"/>
  <c r="FZ12" i="1"/>
  <c r="GH12" i="1"/>
  <c r="IR15" i="1"/>
  <c r="GW15" i="1"/>
  <c r="BQ15" i="1"/>
  <c r="JC15" i="1"/>
  <c r="HV15" i="1"/>
  <c r="GU25" i="1"/>
  <c r="IC30" i="1"/>
  <c r="GV30" i="1"/>
  <c r="GT9" i="1"/>
  <c r="FS23" i="1"/>
  <c r="FP23" i="1"/>
  <c r="FT29" i="1"/>
  <c r="FQ29" i="1"/>
  <c r="IA29" i="1" s="1"/>
  <c r="GR12" i="1"/>
  <c r="GT12" i="1"/>
  <c r="GK21" i="1"/>
  <c r="IB21" i="1" s="1"/>
  <c r="GY21" i="1"/>
  <c r="HW21" i="1" s="1"/>
  <c r="GH34" i="1"/>
  <c r="FZ34" i="1"/>
  <c r="IW26" i="1"/>
  <c r="GM26" i="1"/>
  <c r="IX26" i="1" s="1"/>
  <c r="HS16" i="1"/>
  <c r="EM16" i="1"/>
  <c r="HT16" i="1" s="1"/>
  <c r="GX13" i="1"/>
  <c r="HL13" i="1" s="1"/>
  <c r="IZ24" i="1"/>
  <c r="ES24" i="1"/>
  <c r="JA24" i="1" s="1"/>
  <c r="IZ8" i="1"/>
  <c r="ES8" i="1"/>
  <c r="JA8" i="1" s="1"/>
  <c r="GO11" i="1"/>
  <c r="GB11" i="1"/>
  <c r="GJ11" i="1" s="1"/>
  <c r="HQ11" i="1" s="1"/>
  <c r="HC11" i="1"/>
  <c r="HM11" i="1"/>
  <c r="DU11" i="1"/>
  <c r="GG11" i="1" s="1"/>
  <c r="GX11" i="1"/>
  <c r="HL11" i="1" s="1"/>
  <c r="IW12" i="1"/>
  <c r="GM12" i="1"/>
  <c r="IX12" i="1" s="1"/>
  <c r="BY25" i="1"/>
  <c r="DO25" i="1"/>
  <c r="GR25" i="1" s="1"/>
  <c r="FF25" i="1"/>
  <c r="FK25" i="1"/>
  <c r="FI25" i="1"/>
  <c r="DR25" i="1"/>
  <c r="IC18" i="1"/>
  <c r="GV18" i="1"/>
  <c r="IZ23" i="1"/>
  <c r="ES23" i="1"/>
  <c r="JA23" i="1" s="1"/>
  <c r="DO27" i="1"/>
  <c r="FF27" i="1"/>
  <c r="BY27" i="1"/>
  <c r="FI27" i="1"/>
  <c r="FK27" i="1"/>
  <c r="DR27" i="1"/>
  <c r="GU18" i="1"/>
  <c r="IO21" i="1"/>
  <c r="EQ21" i="1"/>
  <c r="IP21" i="1" s="1"/>
  <c r="HA7" i="1"/>
  <c r="IS7" i="1" s="1"/>
  <c r="FP22" i="1"/>
  <c r="FS22" i="1"/>
  <c r="HN8" i="1"/>
  <c r="GB8" i="1"/>
  <c r="IZ21" i="1"/>
  <c r="ES21" i="1"/>
  <c r="JA21" i="1" s="1"/>
  <c r="IW13" i="1"/>
  <c r="GM13" i="1"/>
  <c r="IX13" i="1" s="1"/>
  <c r="DO34" i="1"/>
  <c r="FF34" i="1"/>
  <c r="BY34" i="1"/>
  <c r="FK34" i="1"/>
  <c r="DR34" i="1"/>
  <c r="FI34" i="1"/>
  <c r="IC31" i="1"/>
  <c r="GV31" i="1"/>
  <c r="GT28" i="1"/>
  <c r="GR28" i="1"/>
  <c r="IO10" i="1"/>
  <c r="EQ10" i="1"/>
  <c r="IP10" i="1" s="1"/>
  <c r="HX15" i="1"/>
  <c r="GQ15" i="1"/>
  <c r="DV15" i="1"/>
  <c r="HD15" i="1"/>
  <c r="DW15" i="1"/>
  <c r="FV15" i="1"/>
  <c r="GC15" i="1"/>
  <c r="GK15" i="1" s="1"/>
  <c r="IB15" i="1" s="1"/>
  <c r="FY15" i="1"/>
  <c r="FW15" i="1"/>
  <c r="GA15" i="1" s="1"/>
  <c r="FZ17" i="1"/>
  <c r="GH17" i="1"/>
  <c r="FR29" i="1"/>
  <c r="FO29" i="1"/>
  <c r="HP29" i="1" s="1"/>
  <c r="GZ30" i="1"/>
  <c r="IH30" i="1" s="1"/>
  <c r="GI9" i="1"/>
  <c r="FO27" i="1" l="1"/>
  <c r="HP27" i="1" s="1"/>
  <c r="FR27" i="1"/>
  <c r="GD25" i="1"/>
  <c r="FU25" i="1"/>
  <c r="GZ25" i="1"/>
  <c r="IH25" i="1" s="1"/>
  <c r="DZ25" i="1"/>
  <c r="II25" i="1"/>
  <c r="HS15" i="1"/>
  <c r="EM15" i="1"/>
  <c r="HT15" i="1" s="1"/>
  <c r="IL10" i="1"/>
  <c r="GL10" i="1"/>
  <c r="IM10" i="1" s="1"/>
  <c r="DU22" i="1"/>
  <c r="GG22" i="1" s="1"/>
  <c r="HC22" i="1"/>
  <c r="HM22" i="1"/>
  <c r="GB22" i="1"/>
  <c r="GJ22" i="1" s="1"/>
  <c r="HQ22" i="1" s="1"/>
  <c r="GO22" i="1"/>
  <c r="FR23" i="1"/>
  <c r="FO23" i="1"/>
  <c r="HP23" i="1" s="1"/>
  <c r="IL29" i="1"/>
  <c r="GL29" i="1"/>
  <c r="IM29" i="1" s="1"/>
  <c r="GH32" i="1"/>
  <c r="FZ32" i="1"/>
  <c r="IL32" i="1"/>
  <c r="GL32" i="1"/>
  <c r="IM32" i="1" s="1"/>
  <c r="GX19" i="1"/>
  <c r="HL19" i="1" s="1"/>
  <c r="HM25" i="1"/>
  <c r="GO25" i="1"/>
  <c r="DU25" i="1"/>
  <c r="GG25" i="1" s="1"/>
  <c r="HC25" i="1"/>
  <c r="GB25" i="1"/>
  <c r="GJ25" i="1" s="1"/>
  <c r="HQ25" i="1" s="1"/>
  <c r="GD22" i="1"/>
  <c r="II22" i="1"/>
  <c r="GZ22" i="1"/>
  <c r="IH22" i="1" s="1"/>
  <c r="FU22" i="1"/>
  <c r="DZ22" i="1"/>
  <c r="GJ8" i="1"/>
  <c r="HQ8" i="1" s="1"/>
  <c r="GX8" i="1"/>
  <c r="HL8" i="1" s="1"/>
  <c r="GO27" i="1"/>
  <c r="HM27" i="1"/>
  <c r="HC27" i="1"/>
  <c r="GX27" i="1"/>
  <c r="HL27" i="1" s="1"/>
  <c r="GB27" i="1"/>
  <c r="GJ27" i="1" s="1"/>
  <c r="HQ27" i="1" s="1"/>
  <c r="DU27" i="1"/>
  <c r="GG27" i="1" s="1"/>
  <c r="GM32" i="1"/>
  <c r="IX32" i="1" s="1"/>
  <c r="IW32" i="1"/>
  <c r="GK24" i="1"/>
  <c r="IB24" i="1" s="1"/>
  <c r="GY24" i="1"/>
  <c r="HW24" i="1" s="1"/>
  <c r="GZ32" i="1"/>
  <c r="IH32" i="1" s="1"/>
  <c r="GY15" i="1"/>
  <c r="HW15" i="1" s="1"/>
  <c r="GT32" i="1"/>
  <c r="GR32" i="1"/>
  <c r="GX14" i="1"/>
  <c r="HL14" i="1" s="1"/>
  <c r="GK22" i="1"/>
  <c r="IB22" i="1" s="1"/>
  <c r="GY22" i="1"/>
  <c r="HW22" i="1" s="1"/>
  <c r="DU23" i="1"/>
  <c r="GG23" i="1" s="1"/>
  <c r="GB23" i="1"/>
  <c r="GJ23" i="1" s="1"/>
  <c r="HQ23" i="1" s="1"/>
  <c r="GX23" i="1"/>
  <c r="HL23" i="1" s="1"/>
  <c r="HM23" i="1"/>
  <c r="GO23" i="1"/>
  <c r="HC23" i="1"/>
  <c r="IC26" i="1"/>
  <c r="GV26" i="1"/>
  <c r="GD27" i="1"/>
  <c r="II27" i="1"/>
  <c r="DZ27" i="1"/>
  <c r="FU27" i="1"/>
  <c r="HB25" i="1"/>
  <c r="JD25" i="1" s="1"/>
  <c r="JH25" i="1"/>
  <c r="GN25" i="1"/>
  <c r="JI25" i="1" s="1"/>
  <c r="GH15" i="1"/>
  <c r="FZ15" i="1"/>
  <c r="GM15" i="1"/>
  <c r="IX15" i="1" s="1"/>
  <c r="IW15" i="1"/>
  <c r="HB15" i="1"/>
  <c r="JD15" i="1" s="1"/>
  <c r="GN15" i="1"/>
  <c r="JI15" i="1" s="1"/>
  <c r="JH15" i="1"/>
  <c r="IC17" i="1"/>
  <c r="GV17" i="1"/>
  <c r="FO35" i="1"/>
  <c r="FR35" i="1"/>
  <c r="IC32" i="1"/>
  <c r="GV32" i="1"/>
  <c r="GI25" i="1"/>
  <c r="GI15" i="1"/>
  <c r="GU15" i="1"/>
  <c r="FO34" i="1"/>
  <c r="FR34" i="1"/>
  <c r="FO15" i="1"/>
  <c r="HP15" i="1" s="1"/>
  <c r="FR15" i="1"/>
  <c r="IZ15" i="1"/>
  <c r="ES15" i="1"/>
  <c r="JA15" i="1" s="1"/>
  <c r="GI32" i="1"/>
  <c r="FR22" i="1"/>
  <c r="FO22" i="1"/>
  <c r="HP22" i="1" s="1"/>
  <c r="GL17" i="1"/>
  <c r="IM17" i="1" s="1"/>
  <c r="IL17" i="1"/>
  <c r="FO33" i="1"/>
  <c r="HP33" i="1" s="1"/>
  <c r="FR33" i="1"/>
  <c r="IC11" i="1"/>
  <c r="GV11" i="1"/>
  <c r="IC19" i="1"/>
  <c r="GV19" i="1"/>
  <c r="FZ25" i="1"/>
  <c r="GH25" i="1"/>
  <c r="FU34" i="1"/>
  <c r="GD34" i="1"/>
  <c r="GL34" i="1" s="1"/>
  <c r="GZ34" i="1"/>
  <c r="IC7" i="1"/>
  <c r="GV7" i="1"/>
  <c r="GR24" i="1"/>
  <c r="GT24" i="1"/>
  <c r="GO35" i="1"/>
  <c r="GB35" i="1"/>
  <c r="GJ35" i="1" s="1"/>
  <c r="GX35" i="1"/>
  <c r="DU35" i="1"/>
  <c r="GG35" i="1" s="1"/>
  <c r="IL11" i="1"/>
  <c r="GL11" i="1"/>
  <c r="IM11" i="1" s="1"/>
  <c r="HS25" i="1"/>
  <c r="EM25" i="1"/>
  <c r="HT25" i="1" s="1"/>
  <c r="IL28" i="1"/>
  <c r="GL28" i="1"/>
  <c r="IM28" i="1" s="1"/>
  <c r="GD23" i="1"/>
  <c r="II23" i="1"/>
  <c r="FU23" i="1"/>
  <c r="GZ23" i="1"/>
  <c r="IH23" i="1" s="1"/>
  <c r="DZ23" i="1"/>
  <c r="IL7" i="1"/>
  <c r="GL7" i="1"/>
  <c r="IM7" i="1" s="1"/>
  <c r="FR9" i="1"/>
  <c r="FO9" i="1"/>
  <c r="HP9" i="1" s="1"/>
  <c r="HA15" i="1"/>
  <c r="IS15" i="1" s="1"/>
  <c r="GX7" i="1"/>
  <c r="HL7" i="1" s="1"/>
  <c r="GO15" i="1"/>
  <c r="HM15" i="1"/>
  <c r="HC15" i="1"/>
  <c r="GB15" i="1"/>
  <c r="GJ15" i="1" s="1"/>
  <c r="HQ15" i="1" s="1"/>
  <c r="DU15" i="1"/>
  <c r="GG15" i="1" s="1"/>
  <c r="GZ10" i="1"/>
  <c r="IH10" i="1" s="1"/>
  <c r="GK10" i="1"/>
  <c r="IB10" i="1" s="1"/>
  <c r="GY10" i="1"/>
  <c r="HW10" i="1" s="1"/>
  <c r="GZ17" i="1"/>
  <c r="IH17" i="1" s="1"/>
  <c r="IC20" i="1"/>
  <c r="GV20" i="1"/>
  <c r="HM33" i="1"/>
  <c r="HC33" i="1"/>
  <c r="GB33" i="1"/>
  <c r="GJ33" i="1" s="1"/>
  <c r="HQ33" i="1" s="1"/>
  <c r="GX33" i="1"/>
  <c r="HL33" i="1" s="1"/>
  <c r="DU33" i="1"/>
  <c r="GG33" i="1" s="1"/>
  <c r="GO33" i="1"/>
  <c r="GZ35" i="1"/>
  <c r="FU35" i="1"/>
  <c r="GD35" i="1"/>
  <c r="GL35" i="1" s="1"/>
  <c r="IC29" i="1"/>
  <c r="GV29" i="1"/>
  <c r="IO25" i="1"/>
  <c r="EQ25" i="1"/>
  <c r="IP25" i="1" s="1"/>
  <c r="IL26" i="1"/>
  <c r="GL26" i="1"/>
  <c r="IM26" i="1" s="1"/>
  <c r="GT15" i="1"/>
  <c r="GR15" i="1"/>
  <c r="FR25" i="1"/>
  <c r="FO25" i="1"/>
  <c r="HP25" i="1" s="1"/>
  <c r="DZ9" i="1"/>
  <c r="FU9" i="1"/>
  <c r="II9" i="1"/>
  <c r="GD9" i="1"/>
  <c r="GK8" i="1"/>
  <c r="IB8" i="1" s="1"/>
  <c r="GY8" i="1"/>
  <c r="HW8" i="1" s="1"/>
  <c r="GZ15" i="1"/>
  <c r="IH15" i="1" s="1"/>
  <c r="II15" i="1"/>
  <c r="GD15" i="1"/>
  <c r="FU15" i="1"/>
  <c r="DZ15" i="1"/>
  <c r="IC10" i="1"/>
  <c r="GV10" i="1"/>
  <c r="GX29" i="1"/>
  <c r="HL29" i="1" s="1"/>
  <c r="GX28" i="1"/>
  <c r="HL28" i="1" s="1"/>
  <c r="II33" i="1"/>
  <c r="DZ33" i="1"/>
  <c r="GD33" i="1"/>
  <c r="FU33" i="1"/>
  <c r="GL14" i="1"/>
  <c r="IM14" i="1" s="1"/>
  <c r="IL14" i="1"/>
  <c r="IL19" i="1"/>
  <c r="GL19" i="1"/>
  <c r="IM19" i="1" s="1"/>
  <c r="GZ29" i="1"/>
  <c r="IH29" i="1" s="1"/>
  <c r="IZ25" i="1"/>
  <c r="ES25" i="1"/>
  <c r="JA25" i="1" s="1"/>
  <c r="GO34" i="1"/>
  <c r="GB34" i="1"/>
  <c r="GJ34" i="1" s="1"/>
  <c r="DU34" i="1"/>
  <c r="GG34" i="1" s="1"/>
  <c r="GX26" i="1"/>
  <c r="HL26" i="1" s="1"/>
  <c r="GB9" i="1"/>
  <c r="GJ9" i="1" s="1"/>
  <c r="HQ9" i="1" s="1"/>
  <c r="DU9" i="1"/>
  <c r="GG9" i="1" s="1"/>
  <c r="GO9" i="1"/>
  <c r="HC9" i="1"/>
  <c r="HM9" i="1"/>
  <c r="IO15" i="1"/>
  <c r="EQ15" i="1"/>
  <c r="IP15" i="1" s="1"/>
  <c r="IC28" i="1"/>
  <c r="GV28" i="1"/>
  <c r="IL20" i="1"/>
  <c r="GL20" i="1"/>
  <c r="IM20" i="1" s="1"/>
  <c r="IC14" i="1"/>
  <c r="GV14" i="1"/>
  <c r="GJ24" i="1"/>
  <c r="HQ24" i="1" s="1"/>
  <c r="GX24" i="1"/>
  <c r="HL24" i="1" s="1"/>
  <c r="GU32" i="1"/>
  <c r="IC23" i="1" l="1"/>
  <c r="GV23" i="1"/>
  <c r="GL22" i="1"/>
  <c r="IM22" i="1" s="1"/>
  <c r="IL22" i="1"/>
  <c r="GX9" i="1"/>
  <c r="HL9" i="1" s="1"/>
  <c r="GL15" i="1"/>
  <c r="IM15" i="1" s="1"/>
  <c r="IL15" i="1"/>
  <c r="IC27" i="1"/>
  <c r="GV27" i="1"/>
  <c r="IC9" i="1"/>
  <c r="GV9" i="1"/>
  <c r="IL33" i="1"/>
  <c r="GL33" i="1"/>
  <c r="IM33" i="1" s="1"/>
  <c r="GX15" i="1"/>
  <c r="HL15" i="1" s="1"/>
  <c r="GL27" i="1"/>
  <c r="IM27" i="1" s="1"/>
  <c r="IL27" i="1"/>
  <c r="IC25" i="1"/>
  <c r="GV25" i="1"/>
  <c r="GZ33" i="1"/>
  <c r="IH33" i="1" s="1"/>
  <c r="IL23" i="1"/>
  <c r="GL23" i="1"/>
  <c r="IM23" i="1" s="1"/>
  <c r="GZ27" i="1"/>
  <c r="IH27" i="1" s="1"/>
  <c r="IC15" i="1"/>
  <c r="GV15" i="1"/>
  <c r="GX34" i="1"/>
  <c r="IC33" i="1"/>
  <c r="GV33" i="1"/>
  <c r="GX25" i="1"/>
  <c r="HL25" i="1" s="1"/>
  <c r="GL9" i="1"/>
  <c r="IM9" i="1" s="1"/>
  <c r="IL9" i="1"/>
  <c r="GL25" i="1"/>
  <c r="IM25" i="1" s="1"/>
  <c r="IL25" i="1"/>
  <c r="GZ9" i="1"/>
  <c r="IH9" i="1" s="1"/>
  <c r="GX22" i="1"/>
  <c r="HL22" i="1" s="1"/>
  <c r="IC22" i="1"/>
  <c r="GV22" i="1"/>
</calcChain>
</file>

<file path=xl/sharedStrings.xml><?xml version="1.0" encoding="utf-8"?>
<sst xmlns="http://schemas.openxmlformats.org/spreadsheetml/2006/main" count="1061" uniqueCount="561">
  <si>
    <t>Data for Model 1 Outlined in Section 4.1</t>
  </si>
  <si>
    <t>Weekly Total Number of Hours of Productive Employees</t>
  </si>
  <si>
    <t>SLTdl(24.46)</t>
  </si>
  <si>
    <t>SLTdl(11.666)</t>
  </si>
  <si>
    <t>SLTdl(9.47)</t>
  </si>
  <si>
    <t>SLTdl(20.82)</t>
  </si>
  <si>
    <t>SLTdl(8.57)</t>
  </si>
  <si>
    <t>Labour Income</t>
  </si>
  <si>
    <t>Personal Income</t>
  </si>
  <si>
    <t>GOUV</t>
  </si>
  <si>
    <t>Value per item</t>
  </si>
  <si>
    <t>Value per item _ prod</t>
  </si>
  <si>
    <t>weekly</t>
  </si>
  <si>
    <t>annually</t>
  </si>
  <si>
    <t>Total compensation of employees (Current price: £m)</t>
  </si>
  <si>
    <t>Compensation of employees deflator (SA)-2019  - YBGD</t>
  </si>
  <si>
    <t>YBGD_dec</t>
  </si>
  <si>
    <t>Total compensation of employees - Deflated_err</t>
  </si>
  <si>
    <t>Total compensation of employees - Deflated</t>
  </si>
  <si>
    <t>Gross operating surplus: financial corporations (NSA); ONS</t>
  </si>
  <si>
    <t>Gross operating surplus: NFCos: public: (NSA); ONS</t>
  </si>
  <si>
    <t>Gross operating surplus: NFCos: private (NSA); ONS</t>
  </si>
  <si>
    <t>Mixed income, gross; ONS</t>
  </si>
  <si>
    <t>Gross Operationg Surplus and Mixed Income  deflator (SA)-2019 - error</t>
  </si>
  <si>
    <t>Gross Operationg Surplus and Mixed Income  deflator (SA)-2019_dec</t>
  </si>
  <si>
    <t>Gross operating surplus: financial corporations (NSA); ONS_deflated - ERROR</t>
  </si>
  <si>
    <t>Gross operating surplus: NFCos: public: (NSA); ONS_deflated - ERROR</t>
  </si>
  <si>
    <t>Gross operating surplus: NFCos: private (NSA); ONS_deflated - ERROR</t>
  </si>
  <si>
    <t>Gross operating surplus: financial corporations (NSA); ONS_deflated</t>
  </si>
  <si>
    <t>Gross operating surplus: NFCos: public: (NSA); ONS_deflated</t>
  </si>
  <si>
    <t>Gross operating surplus: NFCos: private (NSA); ONS_deflated</t>
  </si>
  <si>
    <t>Profits deflated</t>
  </si>
  <si>
    <t>Mixed income, gross; ONS_deflated_ERRO</t>
  </si>
  <si>
    <t>Mixed income, gross; ONS_deflated</t>
  </si>
  <si>
    <t>NATIONAL INCOME_DEFLATED</t>
  </si>
  <si>
    <t>NATIONAL INCOME</t>
  </si>
  <si>
    <t xml:space="preserve">GDP deflator at market prices - 2021 = 100 </t>
  </si>
  <si>
    <t>GDP deflator at market prices - 2021 = 1</t>
  </si>
  <si>
    <t>NATIONAL INCOME_DEFLATED2</t>
  </si>
  <si>
    <t>Productive employees private sector wage share calculated from the BHPS/US</t>
  </si>
  <si>
    <t>Unproductive employees private sector wage share calculated from the BHPS/US</t>
  </si>
  <si>
    <t>Productive + Unproductive employees private sector wage share calculated from the BHPS/US</t>
  </si>
  <si>
    <t>Public sector employees wage share (inc. armed forces) - Dan</t>
  </si>
  <si>
    <t>ALL Wage share</t>
  </si>
  <si>
    <t>Residual Share</t>
  </si>
  <si>
    <t>Productive SELF -employed private sector wage share calculated from the BHPS/US</t>
  </si>
  <si>
    <t>Unproductive  SELF -employed private sector wage share calculated from the BHPS/US</t>
  </si>
  <si>
    <t>Public Sector Employment by Sector; Local Gov; UK; HC; NSA; Thousands</t>
  </si>
  <si>
    <t>Private Sector Employment: UK; HC; NSA; Thousands</t>
  </si>
  <si>
    <t>Percentage of private sector employed who are self-employed, BHPS/US</t>
  </si>
  <si>
    <t>Estimate of private sector self employed</t>
  </si>
  <si>
    <t>Percentage of private sector employed who are employees, BHPS</t>
  </si>
  <si>
    <t>Estimate of private sector employees</t>
  </si>
  <si>
    <t>Percentage of private sector employees who are productive, BHPS/US</t>
  </si>
  <si>
    <t>Estimate of productive private sector employees</t>
  </si>
  <si>
    <t>Estimate of unproductive private sector employees</t>
  </si>
  <si>
    <t>Weekly productive private sector wage (employees)</t>
  </si>
  <si>
    <t>Percentage of self-employed who are productive</t>
  </si>
  <si>
    <t>Estimate of the number of productive self employed</t>
  </si>
  <si>
    <t>Estimate of the number of unproductive self employed</t>
  </si>
  <si>
    <t>Estimate of productive private sector employment (employees and self-employed)</t>
  </si>
  <si>
    <t>Estimate of unproductive private sector employment (employees and self-employed)</t>
  </si>
  <si>
    <t>Aggregate wage component of productive self employed income</t>
  </si>
  <si>
    <t>Aggregate Wage component of unproductive self employed income and profits</t>
  </si>
  <si>
    <t xml:space="preserve">Aggregate wage component of Productive private sector EMPLOYEES </t>
  </si>
  <si>
    <t>Aggregate Wage component of Unproductive private sector EMPLOYEES</t>
  </si>
  <si>
    <t>Aggregate Wage component of PUBLIC sector EMPLOYEES - CALCULATED</t>
  </si>
  <si>
    <t>Aggregate Wage component of PUBLIC sector EMPLOYEES - DAN</t>
  </si>
  <si>
    <t>Variable Capital - Annual</t>
  </si>
  <si>
    <t>Variable Capital (prod. Include. Mixed)- Annual</t>
  </si>
  <si>
    <t>Avergae Money Wage per Worker (All Compensation for Employees) - Annual</t>
  </si>
  <si>
    <t>Avergae Money Wage per Worker (Wage share only)  - Annual</t>
  </si>
  <si>
    <t>Avergae Money Wage per Productive Workerr  - Annual</t>
  </si>
  <si>
    <t>Avergae Money Wage per Worker (All Compensation for Employees) - Weekly</t>
  </si>
  <si>
    <t>Avergae Money Wage per Worker (Wage share only)  - Weekly</t>
  </si>
  <si>
    <t>Avergae Money Wage per Productive Workerr  - Weekly</t>
  </si>
  <si>
    <t>Surplus Revenue Created</t>
  </si>
  <si>
    <t xml:space="preserve">Surplus Revenue Created </t>
  </si>
  <si>
    <t>New Revenue Created per Wage Earner - Annually</t>
  </si>
  <si>
    <t>New Revenue Created per Productive Wage Earner - Annually</t>
  </si>
  <si>
    <t>New Revenue Created per Wage Earner</t>
  </si>
  <si>
    <t>New Revenue Created per Productive Wage Earner</t>
  </si>
  <si>
    <t>Average actual weekly hours of work for full-time workers (seasonally adjusted) -ONS</t>
  </si>
  <si>
    <t>Average actual weekly hours of work for part-time workers (seasonally adjusted)</t>
  </si>
  <si>
    <t>Avg actual weekly hours of work: UK: All workers in 2nd job: SA</t>
  </si>
  <si>
    <t xml:space="preserve">Employees working full-time </t>
  </si>
  <si>
    <t>Employees working part-time</t>
  </si>
  <si>
    <t>Total workers with second jobs</t>
  </si>
  <si>
    <t>Total Employees_calc</t>
  </si>
  <si>
    <t>Percentage of FT Employees</t>
  </si>
  <si>
    <t>Percentage of PT Employees</t>
  </si>
  <si>
    <t>Percentage of 2nd Job Employees</t>
  </si>
  <si>
    <t>Average Hours of all employees regradless of contracts</t>
  </si>
  <si>
    <t>Total weekly hours  FULL+PART+2ND JOB</t>
  </si>
  <si>
    <t>Total weekly hours  FULL+PART+2ND JOB_calc</t>
  </si>
  <si>
    <t>Public employee avg. hours (BHPS/US) - DAN</t>
  </si>
  <si>
    <t xml:space="preserve">Average WEEKLY hours of  private sector employees </t>
  </si>
  <si>
    <t>Average WEEKLY hours of productive private sector employees (BHPS/US)</t>
  </si>
  <si>
    <t>Average WEEKLY hours of the productive self-employed (BHPS/US)</t>
  </si>
  <si>
    <t>Average WEEKLY hours for those in productive private sector employment</t>
  </si>
  <si>
    <t>Avg. hrs UNprod private sector employees</t>
  </si>
  <si>
    <t>Avg. hrs UNprod private self-employed</t>
  </si>
  <si>
    <t>Public avg. hrs Prod</t>
  </si>
  <si>
    <t>Public avg. hrs UNnprod</t>
  </si>
  <si>
    <t>Average WEEKLY hours for those in UNproductive  employment</t>
  </si>
  <si>
    <t>Private Sector Weekly Hours</t>
  </si>
  <si>
    <t>Average WEEKLY hours for those in  employment</t>
  </si>
  <si>
    <t>Average ANNUAL hours for those in private sector employment</t>
  </si>
  <si>
    <t>Average ANNUAL hours for those in ALL employment</t>
  </si>
  <si>
    <t>Average ANNUAL hours for those in productive private sector employment</t>
  </si>
  <si>
    <t>Weekly Total Number of Hours of Productive Self- Employed</t>
  </si>
  <si>
    <t>Aggregate WEEKLY hours of the EMPLOYMENT in private sector</t>
  </si>
  <si>
    <t>Aggregate WEEKLY hours of the EMPLOYMENT in all sectors</t>
  </si>
  <si>
    <t>Aggregate WEEKLY hours of the productive EMPLOYMENT (BHPS/US) in private sector</t>
  </si>
  <si>
    <t>Aggregate ANNUAL hours of  EMPLOYMENT (BHPS/US) in private sector</t>
  </si>
  <si>
    <t>Aggregate ANNUAL hours of the EMPLOYMENT in all sectors</t>
  </si>
  <si>
    <t>Aggregate ANNUAL hours of the productive EMPLOYMENT (BHPS/US) in private sector</t>
  </si>
  <si>
    <t>Aggregate ANNUAL hours of EMPLOYMENT (BHPS/US) in private sector</t>
  </si>
  <si>
    <t>Aggregate ANNUAL hours of  EMPLOYMENT (BHPS/US) in ALL sectors</t>
  </si>
  <si>
    <t>Monetary expression of values (1 hr of value in price terms) - £ per labour hour</t>
  </si>
  <si>
    <t>Rate of SV (all workers productive)</t>
  </si>
  <si>
    <t>Rate of SV (pr)</t>
  </si>
  <si>
    <t>Distributive Surplus Value (Exploitation)</t>
  </si>
  <si>
    <t>Surplus Value Rate (including Mixed, Prod- Unprod, Public)</t>
  </si>
  <si>
    <t>Surplus Value Rate (including Mixed, Prod- Unprod)</t>
  </si>
  <si>
    <t>Necessary labour time per  worker per week(incl mix) in private setor</t>
  </si>
  <si>
    <t>Surplus labout time per worker per week (incl mix)  in private setor</t>
  </si>
  <si>
    <t>Necessary labour time per  worker per week(incl mix) in all sectors</t>
  </si>
  <si>
    <t>Surplus labout time per worker per week (incl mix) in all sectors</t>
  </si>
  <si>
    <t>Necessary labour time per productive worker per week(incl mix)</t>
  </si>
  <si>
    <t>Surplus labout time per productive worker per week (incl mix)</t>
  </si>
  <si>
    <t>Necessary labour time per  worker per week(incl mix)</t>
  </si>
  <si>
    <t>Surplus labout time per worker per week (incl mix)</t>
  </si>
  <si>
    <t>Necessary labour time per productive worker per week (incl mix &amp; publ)</t>
  </si>
  <si>
    <t>Surplus labout time per productive worker per week  (incl mix &amp; publ)</t>
  </si>
  <si>
    <t>SV TRAJECTORY BY WORKING HOURS ALONE (Distributive SV) in private sector</t>
  </si>
  <si>
    <t>SV TRAJECTORY BY WORKING HOURS ALONE (Distributive SV) in all sectors</t>
  </si>
  <si>
    <t>SV TRAJECTORY BY WORKING HOURS ALONE (bruce paper) productive</t>
  </si>
  <si>
    <t>SV TRAJECTORY BY WORKING HOURS ALONE (Distributive SV)</t>
  </si>
  <si>
    <t>SV TRAJECTORY BY WORKING HOURS ALONE (bruce paper)</t>
  </si>
  <si>
    <t>Real Hourly Wage of employment</t>
  </si>
  <si>
    <t>Real Hourly Wage of productive employment</t>
  </si>
  <si>
    <t>CPI INDEX 00: ALL ITEMS 2015=100</t>
  </si>
  <si>
    <t>CPI/melt_prv</t>
  </si>
  <si>
    <t>CPI/melt_prod</t>
  </si>
  <si>
    <t>Value of Money</t>
  </si>
  <si>
    <t>Value of Money_pr</t>
  </si>
  <si>
    <t>value per item2</t>
  </si>
  <si>
    <t>Average Value of Means of Subsistence</t>
  </si>
  <si>
    <t>price per item2</t>
  </si>
  <si>
    <t>Average Price of Means of Subsistence</t>
  </si>
  <si>
    <t>Hourly Value of Labour Power</t>
  </si>
  <si>
    <t>Hourly Value of Labour Power (prod)</t>
  </si>
  <si>
    <t>Annual Value of Labour Power</t>
  </si>
  <si>
    <t>Value of One earner's labour power  = Value of the means of subsistence purchased by one earner</t>
  </si>
  <si>
    <t xml:space="preserve">Hourly Value of Labour Power = number of means of subsistence x averge value of these means </t>
  </si>
  <si>
    <t>Hourly Value of Labour Power = number of means of subsistence x averge value of these means</t>
  </si>
  <si>
    <t>Formula</t>
  </si>
  <si>
    <t>HAEA/Empl_Deflt  - err</t>
  </si>
  <si>
    <t>NQNV/gr_mix_defl</t>
  </si>
  <si>
    <t>NRJT/gr_mix_defl</t>
  </si>
  <si>
    <t>NRJK/gr_mix_defl</t>
  </si>
  <si>
    <t>(NQNV/gr_mix_defl)+ ( NRJT/gr_mix_defl)+( NRJK/gr_mix_defl)</t>
  </si>
  <si>
    <t>QWLT/gr_mix_defl_ER</t>
  </si>
  <si>
    <t>QWLT/gr_mix_defl</t>
  </si>
  <si>
    <t>HAEA_defl+NQNV_defl+NRJT_defl+NRJK_defl+QWLT_defl</t>
  </si>
  <si>
    <t>SUM(HAEA+NQNV+NRJT+NRJK+QWLT)</t>
  </si>
  <si>
    <t>Y/L8GG</t>
  </si>
  <si>
    <t xml:space="preserve">PSWS (BHPS/US) +PbWS (BHPS/US) </t>
  </si>
  <si>
    <t>1-PSWS (BHPS/US) - PbWS (BHPS/US)</t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</si>
  <si>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PBL</t>
    </r>
    <r>
      <rPr>
        <b/>
        <sz val="14"/>
        <rFont val="Aptos Narrow"/>
        <family val="2"/>
        <scheme val="minor"/>
      </rPr>
      <t>+</t>
    </r>
    <r>
      <rPr>
        <b/>
        <sz val="8"/>
        <rFont val="Aptos Narrow"/>
        <family val="2"/>
        <scheme val="minor"/>
      </rPr>
      <t>LPRV</t>
    </r>
  </si>
  <si>
    <t>CZG8*%PSSE (BHPS)</t>
  </si>
  <si>
    <t>CZG8*%PSE (BHPS)</t>
  </si>
  <si>
    <t>EPSE*%PSProdE (BHPS)</t>
  </si>
  <si>
    <t>EPSE*(1-%PSProdE (BHPS))</t>
  </si>
  <si>
    <t>(HAEA_defl*PrPRWS (BHPS))/(EPSProdE*52)</t>
  </si>
  <si>
    <t>EPSSE*%PSProdSE (BHPS)</t>
  </si>
  <si>
    <t>EPSSE*(1-%PSProdSE (BHPS))</t>
  </si>
  <si>
    <t>EPSProdE+ EProdSE</t>
  </si>
  <si>
    <t>EPSSE*%PSProdSE (BHPS)*wProd*53</t>
  </si>
  <si>
    <t>QWLT-AProdSEW</t>
  </si>
  <si>
    <t>HAEA_defl* PrPSWS (BHPS/US)</t>
  </si>
  <si>
    <t>HAEA_defl* UnPSWS (BHPS/US)</t>
  </si>
  <si>
    <r>
      <rPr>
        <b/>
        <sz val="14"/>
        <rFont val="Aptos Narrow"/>
        <family val="2"/>
        <scheme val="minor"/>
      </rPr>
      <t>VC</t>
    </r>
    <r>
      <rPr>
        <b/>
        <sz val="9"/>
        <rFont val="Aptos Narrow"/>
        <family val="2"/>
        <scheme val="minor"/>
      </rPr>
      <t>PRV-EMP-PR</t>
    </r>
    <r>
      <rPr>
        <b/>
        <sz val="14"/>
        <rFont val="Aptos Narrow"/>
        <family val="2"/>
        <scheme val="minor"/>
      </rPr>
      <t>+W</t>
    </r>
    <r>
      <rPr>
        <b/>
        <sz val="9"/>
        <rFont val="Aptos Narrow"/>
        <family val="2"/>
        <scheme val="minor"/>
      </rPr>
      <t>PRV-EMP-UNPR</t>
    </r>
    <r>
      <rPr>
        <b/>
        <sz val="14"/>
        <rFont val="Aptos Narrow"/>
        <family val="2"/>
        <scheme val="minor"/>
      </rPr>
      <t>+W</t>
    </r>
    <r>
      <rPr>
        <b/>
        <sz val="8"/>
        <rFont val="Aptos Narrow"/>
        <family val="2"/>
        <scheme val="minor"/>
      </rPr>
      <t>P</t>
    </r>
    <r>
      <rPr>
        <b/>
        <sz val="9"/>
        <rFont val="Aptos Narrow"/>
        <family val="2"/>
        <scheme val="minor"/>
      </rPr>
      <t>UBL-EMP</t>
    </r>
  </si>
  <si>
    <t>W/HAEA_defl = WS</t>
  </si>
  <si>
    <t>HAEA* WS</t>
  </si>
  <si>
    <r>
      <t>HAEA* PrPRWS (BHPS/US) + AProdSEW =</t>
    </r>
    <r>
      <rPr>
        <b/>
        <sz val="14"/>
        <rFont val="Aptos Narrow"/>
        <family val="2"/>
        <scheme val="minor"/>
      </rPr>
      <t xml:space="preserve">    VC</t>
    </r>
    <r>
      <rPr>
        <b/>
        <sz val="9"/>
        <rFont val="Aptos Narrow"/>
        <family val="2"/>
        <scheme val="minor"/>
      </rPr>
      <t xml:space="preserve">PRV-MIX-PR </t>
    </r>
    <r>
      <rPr>
        <b/>
        <sz val="14"/>
        <rFont val="Aptos Narrow"/>
        <family val="2"/>
        <scheme val="minor"/>
      </rPr>
      <t>+ VC</t>
    </r>
    <r>
      <rPr>
        <b/>
        <sz val="9"/>
        <rFont val="Aptos Narrow"/>
        <family val="2"/>
        <scheme val="minor"/>
      </rPr>
      <t>PRV-EMP-PR</t>
    </r>
  </si>
  <si>
    <t>HAEA_defl/L</t>
  </si>
  <si>
    <r>
      <t>VC</t>
    </r>
    <r>
      <rPr>
        <b/>
        <sz val="8"/>
        <rFont val="Aptos Narrow"/>
        <family val="2"/>
        <scheme val="minor"/>
      </rPr>
      <t>PRV-EMP</t>
    </r>
    <r>
      <rPr>
        <b/>
        <sz val="14"/>
        <rFont val="Aptos Narrow"/>
        <family val="2"/>
        <scheme val="minor"/>
      </rPr>
      <t>/L</t>
    </r>
  </si>
  <si>
    <r>
      <rPr>
        <b/>
        <sz val="14"/>
        <rFont val="Aptos Narrow"/>
        <family val="2"/>
        <scheme val="minor"/>
      </rPr>
      <t>VC</t>
    </r>
    <r>
      <rPr>
        <b/>
        <sz val="8"/>
        <rFont val="Aptos Narrow"/>
        <family val="2"/>
        <scheme val="minor"/>
      </rPr>
      <t>PRV-PR</t>
    </r>
    <r>
      <rPr>
        <b/>
        <sz val="14"/>
        <rFont val="Aptos Narrow"/>
        <family val="2"/>
        <scheme val="minor"/>
      </rPr>
      <t xml:space="preserve"> /L</t>
    </r>
    <r>
      <rPr>
        <b/>
        <sz val="9"/>
        <rFont val="Aptos Narrow"/>
        <family val="2"/>
        <scheme val="minor"/>
      </rPr>
      <t>PR</t>
    </r>
  </si>
  <si>
    <t>w/52</t>
  </si>
  <si>
    <t>Y_defl - HAEA_defl =  Πrofits_defl + QWLT_defl</t>
  </si>
  <si>
    <r>
      <rPr>
        <b/>
        <sz val="14"/>
        <rFont val="Aptos Narrow"/>
        <family val="2"/>
        <scheme val="minor"/>
      </rPr>
      <t>Y_defl - VC</t>
    </r>
    <r>
      <rPr>
        <b/>
        <sz val="9"/>
        <rFont val="Aptos Narrow"/>
        <family val="2"/>
        <scheme val="minor"/>
      </rPr>
      <t>PRV-PR</t>
    </r>
  </si>
  <si>
    <t>Πrofits_defl + WPRV-MIX-UNPR+WPRV-EMP-UNPR</t>
  </si>
  <si>
    <t>Πrofits_defl + WPRV-MIX-UNPR+WPRV-EMP-UNPR+WPUBL-EMP</t>
  </si>
  <si>
    <t>Y_defl/L= d.E</t>
  </si>
  <si>
    <r>
      <rPr>
        <b/>
        <sz val="14"/>
        <rFont val="Aptos Narrow"/>
        <family val="2"/>
        <scheme val="minor"/>
      </rPr>
      <t>Y_defl /L</t>
    </r>
    <r>
      <rPr>
        <b/>
        <sz val="9"/>
        <rFont val="Aptos Narrow"/>
        <family val="2"/>
        <scheme val="minor"/>
      </rPr>
      <t>PR</t>
    </r>
    <r>
      <rPr>
        <b/>
        <sz val="14"/>
        <rFont val="Aptos Narrow"/>
        <family val="2"/>
        <scheme val="minor"/>
      </rPr>
      <t>= d.E</t>
    </r>
  </si>
  <si>
    <t>D.E</t>
  </si>
  <si>
    <t>LPBL+LPRV</t>
  </si>
  <si>
    <t>Divergence</t>
  </si>
  <si>
    <t>[(EPSProdE* hProdE)+( EProdSE* hProdSE)] / (EPSProdE+ EProdSE)</t>
  </si>
  <si>
    <r>
      <t>[(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PRV_EMP_UNPR* hUNProdE)+(</t>
    </r>
    <r>
      <rPr>
        <sz val="14"/>
        <rFont val="Aptos Narrow"/>
        <family val="2"/>
        <scheme val="minor"/>
      </rPr>
      <t xml:space="preserve"> L</t>
    </r>
    <r>
      <rPr>
        <b/>
        <sz val="9"/>
        <rFont val="Aptos Narrow"/>
        <family val="2"/>
        <scheme val="minor"/>
      </rPr>
      <t>MIX_UNPR* hUNProdSE)+(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PUBL*hpubl] / 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 xml:space="preserve">PRV_EMP_UNPR+ 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MIX_UNPR+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PUBL)</t>
    </r>
  </si>
  <si>
    <r>
      <t>[(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PRV_EMP_UNPR* hUNProdE)+(</t>
    </r>
    <r>
      <rPr>
        <sz val="14"/>
        <rFont val="Aptos Narrow"/>
        <family val="2"/>
        <scheme val="minor"/>
      </rPr>
      <t xml:space="preserve"> L</t>
    </r>
    <r>
      <rPr>
        <b/>
        <sz val="9"/>
        <rFont val="Aptos Narrow"/>
        <family val="2"/>
        <scheme val="minor"/>
      </rPr>
      <t>MIX_UNPR* hUNProdSE)+(EPSProdE* hProdE)+( EProdSE* hProdSE)] /  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 xml:space="preserve">PRV_EMP_UNPR+ 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MIX_UNPR++EPSProdE+ EProdSE)</t>
    </r>
  </si>
  <si>
    <r>
      <t>[(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PRV_EMP_UNPR* hUNProdE)+(</t>
    </r>
    <r>
      <rPr>
        <sz val="14"/>
        <rFont val="Aptos Narrow"/>
        <family val="2"/>
        <scheme val="minor"/>
      </rPr>
      <t xml:space="preserve"> L</t>
    </r>
    <r>
      <rPr>
        <b/>
        <sz val="9"/>
        <rFont val="Aptos Narrow"/>
        <family val="2"/>
        <scheme val="minor"/>
      </rPr>
      <t>MIX_UNPR* hUNProdSE)+(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PUBL*hpubl)+(EPSProdE* hProdE)+( EProdSE* hProdSE)] /  (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 xml:space="preserve">PRV_EMP_UNPR+ 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MIX_UNPR+</t>
    </r>
    <r>
      <rPr>
        <b/>
        <sz val="14"/>
        <rFont val="Aptos Narrow"/>
        <family val="2"/>
        <scheme val="minor"/>
      </rPr>
      <t>L</t>
    </r>
    <r>
      <rPr>
        <b/>
        <sz val="9"/>
        <rFont val="Aptos Narrow"/>
        <family val="2"/>
        <scheme val="minor"/>
      </rPr>
      <t>PUBL+EPSProdE+ EProdSE)</t>
    </r>
  </si>
  <si>
    <t>Av_week_hrs_all *52</t>
  </si>
  <si>
    <t>hProd*52</t>
  </si>
  <si>
    <t>hProd*%PSProdE(BHPS)*CZG8</t>
  </si>
  <si>
    <r>
      <rPr>
        <b/>
        <sz val="14"/>
        <rFont val="Aptos Narrow"/>
        <family val="2"/>
        <scheme val="minor"/>
      </rPr>
      <t>hProdE*L</t>
    </r>
    <r>
      <rPr>
        <b/>
        <sz val="9"/>
        <rFont val="Aptos Narrow"/>
        <family val="2"/>
        <scheme val="minor"/>
      </rPr>
      <t>PRV-EMP-PR</t>
    </r>
  </si>
  <si>
    <t>hProd*%PSProdSE(BHPS/US)*CZG8</t>
  </si>
  <si>
    <r>
      <rPr>
        <b/>
        <sz val="14"/>
        <rFont val="Aptos Narrow"/>
        <family val="2"/>
        <scheme val="minor"/>
      </rPr>
      <t>hProdSE*L</t>
    </r>
    <r>
      <rPr>
        <b/>
        <sz val="9"/>
        <rFont val="Aptos Narrow"/>
        <family val="2"/>
        <scheme val="minor"/>
      </rPr>
      <t>MIX-PR</t>
    </r>
  </si>
  <si>
    <t>C9KA*h_prv</t>
  </si>
  <si>
    <t>[(LPRV_EMP_UNPR* hUNProdE)+( LMIX_UNPR* hUNProdSE)+(LPUBL*hpubl)+(EPSProdE* hProdE)+( EProdSE* hProdSE)]</t>
  </si>
  <si>
    <t>(EPSProdE*hProdE)+(EProdSE*hProdSE)</t>
  </si>
  <si>
    <t>H_prv*52</t>
  </si>
  <si>
    <t>H_all * 52</t>
  </si>
  <si>
    <t>Hprod*52</t>
  </si>
  <si>
    <t>H_prv(annual)/ L</t>
  </si>
  <si>
    <r>
      <t>H_all(annual)/(L</t>
    </r>
    <r>
      <rPr>
        <b/>
        <sz val="8"/>
        <rFont val="Aptos Narrow"/>
        <family val="2"/>
        <scheme val="minor"/>
      </rPr>
      <t>PRV_EMP_UNPR</t>
    </r>
    <r>
      <rPr>
        <b/>
        <sz val="11"/>
        <rFont val="Aptos Narrow"/>
        <family val="2"/>
        <scheme val="minor"/>
      </rPr>
      <t>+ L</t>
    </r>
    <r>
      <rPr>
        <b/>
        <sz val="8"/>
        <rFont val="Aptos Narrow"/>
        <family val="2"/>
        <scheme val="minor"/>
      </rPr>
      <t>MIX_UNPR</t>
    </r>
    <r>
      <rPr>
        <b/>
        <sz val="11"/>
        <rFont val="Aptos Narrow"/>
        <family val="2"/>
        <scheme val="minor"/>
      </rPr>
      <t>+L</t>
    </r>
    <r>
      <rPr>
        <b/>
        <sz val="8"/>
        <rFont val="Aptos Narrow"/>
        <family val="2"/>
        <scheme val="minor"/>
      </rPr>
      <t>PUBL</t>
    </r>
    <r>
      <rPr>
        <b/>
        <sz val="11"/>
        <rFont val="Aptos Narrow"/>
        <family val="2"/>
        <scheme val="minor"/>
      </rPr>
      <t>+EPSProdE+ EProdSE)</t>
    </r>
  </si>
  <si>
    <t>Hprod(annual)/ LPR</t>
  </si>
  <si>
    <t>Y_defl/H_prv(ann) =                      r/d =                                               R (ie Y)/D</t>
  </si>
  <si>
    <t>Y_defl/H_all(ann) =                      r/d =                                               R (ie Y)/D</t>
  </si>
  <si>
    <t xml:space="preserve">Y_defl/Hprod(ann) =                       r/d  =                                         R (ie Y)/D =   w(s'+1)/d </t>
  </si>
  <si>
    <t>Rw(e(dec)+1)</t>
  </si>
  <si>
    <t>RwProd(s'(dec)+1)</t>
  </si>
  <si>
    <t>[w(s'+1)/d = Y_defl/H(ann) =     Y_defl/H(ann) =                      r/d =                                               R (ie Y)/D</t>
  </si>
  <si>
    <t xml:space="preserve">w(s'+1)/d </t>
  </si>
  <si>
    <t>S/HAEA_defl</t>
  </si>
  <si>
    <r>
      <rPr>
        <b/>
        <sz val="14"/>
        <color theme="0" tint="-0.499984740745262"/>
        <rFont val="Aptos Narrow"/>
        <family val="2"/>
        <scheme val="minor"/>
      </rPr>
      <t>S/VC</t>
    </r>
    <r>
      <rPr>
        <b/>
        <sz val="9"/>
        <color theme="0" tint="-0.499984740745262"/>
        <rFont val="Aptos Narrow"/>
        <family val="2"/>
        <scheme val="minor"/>
      </rPr>
      <t>PRV-PR</t>
    </r>
  </si>
  <si>
    <t>(Πroft_defl+QWLT_defl)/HAEA_defl</t>
  </si>
  <si>
    <t>[Πrofits_defl+HAEA_defl* UnPSWS (BHPS/US)+ NonProdSEI] +Wg_Empl(publ)/ [HAEA_defl* PrPRWS (BHPS/US) + AProdSEW]</t>
  </si>
  <si>
    <t>[Πrofits_defl+HAEA_defl* UnPSWS (BHPS/US)+ NonProdSEI] / [HAEA_defl* PrPRWS (BHPS/US) + AProdSEW]</t>
  </si>
  <si>
    <t>h_prv/(e'_prv +1)</t>
  </si>
  <si>
    <t>h_prv  - NLT_prv</t>
  </si>
  <si>
    <t>h_all/(e'_prv +1)</t>
  </si>
  <si>
    <t>h_all  - NLT_all</t>
  </si>
  <si>
    <t>hProd/(S'_prod +1)</t>
  </si>
  <si>
    <t>hProd-NLT (Prod)</t>
  </si>
  <si>
    <t>YBUY/(e' (dec)+1)</t>
  </si>
  <si>
    <t>YBUY-NLT (Prod)</t>
  </si>
  <si>
    <t>hProd/(s' (dec)+1)</t>
  </si>
  <si>
    <t>h_prv -24.52</t>
  </si>
  <si>
    <t>h_all -9.49</t>
  </si>
  <si>
    <t>hProd-11.61</t>
  </si>
  <si>
    <t>YBUY-24.46</t>
  </si>
  <si>
    <r>
      <t>hProd-</t>
    </r>
    <r>
      <rPr>
        <b/>
        <sz val="9"/>
        <color theme="0" tint="-0.499984740745262"/>
        <rFont val="Calibri"/>
        <family val="2"/>
      </rPr>
      <t>11.666</t>
    </r>
  </si>
  <si>
    <t>hProd-9.47</t>
  </si>
  <si>
    <t xml:space="preserve">100*(SLTdl/24.52)  </t>
  </si>
  <si>
    <t xml:space="preserve">100*(SLTdl/9.49)  </t>
  </si>
  <si>
    <t>100*(SLTdl/11.61) )</t>
  </si>
  <si>
    <t>100*(SLTdl/24.46)  = 100* ((YBUY-24.46)/24.46)</t>
  </si>
  <si>
    <t>100*(SLTdl/11.666)  = 100* ((hProd-11.666)/11.666)</t>
  </si>
  <si>
    <r>
      <t>100*(SLTdl/9.47)  = 100*((hProd-9.4</t>
    </r>
    <r>
      <rPr>
        <b/>
        <sz val="9"/>
        <color rgb="FF00B050"/>
        <rFont val="Calibri"/>
        <family val="2"/>
      </rPr>
      <t>7)/9.47)</t>
    </r>
  </si>
  <si>
    <r>
      <t>VC/H(annual) = (VC</t>
    </r>
    <r>
      <rPr>
        <b/>
        <sz val="8"/>
        <rFont val="Aptos Narrow"/>
        <family val="2"/>
        <scheme val="minor"/>
      </rPr>
      <t>PRV-MIX-PR</t>
    </r>
    <r>
      <rPr>
        <b/>
        <sz val="14"/>
        <rFont val="Aptos Narrow"/>
        <family val="2"/>
        <scheme val="minor"/>
      </rPr>
      <t>+W</t>
    </r>
    <r>
      <rPr>
        <b/>
        <sz val="8"/>
        <rFont val="Aptos Narrow"/>
        <family val="2"/>
        <scheme val="minor"/>
      </rPr>
      <t>PRV-MIX-UNPR</t>
    </r>
    <r>
      <rPr>
        <b/>
        <sz val="14"/>
        <rFont val="Aptos Narrow"/>
        <family val="2"/>
        <scheme val="minor"/>
      </rPr>
      <t>+VC</t>
    </r>
    <r>
      <rPr>
        <b/>
        <sz val="8"/>
        <rFont val="Aptos Narrow"/>
        <family val="2"/>
        <scheme val="minor"/>
      </rPr>
      <t>PRV-EMP-PR</t>
    </r>
    <r>
      <rPr>
        <b/>
        <sz val="14"/>
        <rFont val="Aptos Narrow"/>
        <family val="2"/>
        <scheme val="minor"/>
      </rPr>
      <t>+WP</t>
    </r>
    <r>
      <rPr>
        <b/>
        <sz val="8"/>
        <rFont val="Aptos Narrow"/>
        <family val="2"/>
        <scheme val="minor"/>
      </rPr>
      <t>RV-EMP-UNPR</t>
    </r>
    <r>
      <rPr>
        <b/>
        <sz val="14"/>
        <rFont val="Aptos Narrow"/>
        <family val="2"/>
        <scheme val="minor"/>
      </rPr>
      <t>+W</t>
    </r>
    <r>
      <rPr>
        <b/>
        <sz val="8"/>
        <rFont val="Aptos Narrow"/>
        <family val="2"/>
        <scheme val="minor"/>
      </rPr>
      <t>PUBL-EMP</t>
    </r>
    <r>
      <rPr>
        <b/>
        <sz val="14"/>
        <rFont val="Aptos Narrow"/>
        <family val="2"/>
        <scheme val="minor"/>
      </rPr>
      <t>)/D</t>
    </r>
  </si>
  <si>
    <r>
      <rPr>
        <b/>
        <sz val="14"/>
        <rFont val="Aptos Narrow"/>
        <family val="2"/>
        <scheme val="minor"/>
      </rPr>
      <t>VC/Hprod(annual) = VC</t>
    </r>
    <r>
      <rPr>
        <b/>
        <sz val="8"/>
        <rFont val="Aptos Narrow"/>
        <family val="2"/>
        <scheme val="minor"/>
      </rPr>
      <t>PRV-</t>
    </r>
    <r>
      <rPr>
        <b/>
        <sz val="14"/>
        <rFont val="Aptos Narrow"/>
        <family val="2"/>
        <scheme val="minor"/>
      </rPr>
      <t>PR/ D</t>
    </r>
  </si>
  <si>
    <r>
      <t>VC/H(annual) = (VC</t>
    </r>
    <r>
      <rPr>
        <b/>
        <sz val="8"/>
        <color theme="0" tint="-0.499984740745262"/>
        <rFont val="Aptos Narrow"/>
        <family val="2"/>
        <scheme val="minor"/>
      </rPr>
      <t>PRV-MIX-PR</t>
    </r>
    <r>
      <rPr>
        <b/>
        <sz val="14"/>
        <color theme="0" tint="-0.499984740745262"/>
        <rFont val="Aptos Narrow"/>
        <family val="2"/>
        <scheme val="minor"/>
      </rPr>
      <t>+W</t>
    </r>
    <r>
      <rPr>
        <b/>
        <sz val="8"/>
        <color theme="0" tint="-0.499984740745262"/>
        <rFont val="Aptos Narrow"/>
        <family val="2"/>
        <scheme val="minor"/>
      </rPr>
      <t>PRV-MIX-UNPR</t>
    </r>
    <r>
      <rPr>
        <b/>
        <sz val="14"/>
        <color theme="0" tint="-0.499984740745262"/>
        <rFont val="Aptos Narrow"/>
        <family val="2"/>
        <scheme val="minor"/>
      </rPr>
      <t>+VC</t>
    </r>
    <r>
      <rPr>
        <b/>
        <sz val="8"/>
        <color theme="0" tint="-0.499984740745262"/>
        <rFont val="Aptos Narrow"/>
        <family val="2"/>
        <scheme val="minor"/>
      </rPr>
      <t>PRV-EMP-PR</t>
    </r>
    <r>
      <rPr>
        <b/>
        <sz val="14"/>
        <color theme="0" tint="-0.499984740745262"/>
        <rFont val="Aptos Narrow"/>
        <family val="2"/>
        <scheme val="minor"/>
      </rPr>
      <t>+WP</t>
    </r>
    <r>
      <rPr>
        <b/>
        <sz val="8"/>
        <color theme="0" tint="-0.499984740745262"/>
        <rFont val="Aptos Narrow"/>
        <family val="2"/>
        <scheme val="minor"/>
      </rPr>
      <t>RV-EMP-UNPR</t>
    </r>
    <r>
      <rPr>
        <b/>
        <sz val="14"/>
        <color theme="0" tint="-0.499984740745262"/>
        <rFont val="Aptos Narrow"/>
        <family val="2"/>
        <scheme val="minor"/>
      </rPr>
      <t>+W</t>
    </r>
    <r>
      <rPr>
        <b/>
        <sz val="8"/>
        <color theme="0" tint="-0.499984740745262"/>
        <rFont val="Aptos Narrow"/>
        <family val="2"/>
        <scheme val="minor"/>
      </rPr>
      <t>PUBL-EMP</t>
    </r>
    <r>
      <rPr>
        <b/>
        <sz val="14"/>
        <color theme="0" tint="-0.499984740745262"/>
        <rFont val="Aptos Narrow"/>
        <family val="2"/>
        <scheme val="minor"/>
      </rPr>
      <t>)/D</t>
    </r>
  </si>
  <si>
    <r>
      <rPr>
        <b/>
        <sz val="14"/>
        <color theme="0" tint="-0.499984740745262"/>
        <rFont val="Aptos Narrow"/>
        <family val="2"/>
        <scheme val="minor"/>
      </rPr>
      <t>VC/Hprod(annual) = VC</t>
    </r>
    <r>
      <rPr>
        <b/>
        <sz val="8"/>
        <color theme="0" tint="-0.499984740745262"/>
        <rFont val="Aptos Narrow"/>
        <family val="2"/>
        <scheme val="minor"/>
      </rPr>
      <t>PRV-PR</t>
    </r>
    <r>
      <rPr>
        <b/>
        <sz val="14"/>
        <color theme="0" tint="-0.499984740745262"/>
        <rFont val="Aptos Narrow"/>
        <family val="2"/>
        <scheme val="minor"/>
      </rPr>
      <t>/ D</t>
    </r>
  </si>
  <si>
    <t>HEAE_defl/H(annual)</t>
  </si>
  <si>
    <t>VC/Hprod(annual)</t>
  </si>
  <si>
    <t xml:space="preserve">px  </t>
  </si>
  <si>
    <t>CPI/melt OR D7BT/melt</t>
  </si>
  <si>
    <t>CPI/E_prod OR D7BT/E</t>
  </si>
  <si>
    <t>1/melt_prv</t>
  </si>
  <si>
    <t>1/melt_all</t>
  </si>
  <si>
    <t>1/melt_prod</t>
  </si>
  <si>
    <t>YBUY/[x*(e' (dec) +1)]</t>
  </si>
  <si>
    <t>hProd/[(RwProd)*(s' (dec) +1)]</t>
  </si>
  <si>
    <t>YBUY/[x*(S' +1)]</t>
  </si>
  <si>
    <t>hProd/[X*(S'+1)]</t>
  </si>
  <si>
    <t>px2*52</t>
  </si>
  <si>
    <t>d/[x(S'+1))</t>
  </si>
  <si>
    <t>d/[x(e(dec) '+1))</t>
  </si>
  <si>
    <t>d/[x(s'(dec) +1))</t>
  </si>
  <si>
    <t>d/[x(s'(dec)+1))</t>
  </si>
  <si>
    <t>E2*px1</t>
  </si>
  <si>
    <t>E2*px2 = hProd</t>
  </si>
  <si>
    <t>E2*px3</t>
  </si>
  <si>
    <r>
      <rPr>
        <b/>
        <i/>
        <sz val="9"/>
        <color theme="0" tint="-0.499984740745262"/>
        <rFont val="Aptos Narrow"/>
        <family val="2"/>
        <scheme val="minor"/>
      </rPr>
      <t>px</t>
    </r>
    <r>
      <rPr>
        <b/>
        <sz val="9"/>
        <color theme="0" tint="-0.499984740745262"/>
        <rFont val="Aptos Narrow"/>
        <family val="2"/>
        <scheme val="minor"/>
      </rPr>
      <t xml:space="preserve">.E </t>
    </r>
  </si>
  <si>
    <t>w_hrl_prvv/melt-prv</t>
  </si>
  <si>
    <t>w_hrl_all/melt-all</t>
  </si>
  <si>
    <t>w_hrl_prod/melt-prod</t>
  </si>
  <si>
    <t>vlp(hr)_prv * H_prv(annual per wage earner )</t>
  </si>
  <si>
    <t>vlp(hr)_all * H_all(annual per wage earner )</t>
  </si>
  <si>
    <t>vlp(hr)_prod* H_prod(annual per wage earner )</t>
  </si>
  <si>
    <t>(hProd(annual)*RwProd)/E2</t>
  </si>
  <si>
    <t>w/E</t>
  </si>
  <si>
    <t>x.px</t>
  </si>
  <si>
    <t>x.px =  x/E</t>
  </si>
  <si>
    <t>x/E</t>
  </si>
  <si>
    <t>CPI/melt</t>
  </si>
  <si>
    <t>YEAR</t>
  </si>
  <si>
    <t>HAEA</t>
  </si>
  <si>
    <t>Empl_Deflt_n</t>
  </si>
  <si>
    <t>Empl_Deflt</t>
  </si>
  <si>
    <t>HAEA_defl_er</t>
  </si>
  <si>
    <t>HAEA_defl</t>
  </si>
  <si>
    <t>NQNV</t>
  </si>
  <si>
    <t>NRJT</t>
  </si>
  <si>
    <t>NRJK</t>
  </si>
  <si>
    <t>QWLT</t>
  </si>
  <si>
    <t>YBGE</t>
  </si>
  <si>
    <t>YBGE_dec</t>
  </si>
  <si>
    <t>NQNV_defl_ER</t>
  </si>
  <si>
    <t>NRJT_defl_ER</t>
  </si>
  <si>
    <t>NRJK_defl_ER</t>
  </si>
  <si>
    <t>NQNV_defl</t>
  </si>
  <si>
    <t>NRJT_defl</t>
  </si>
  <si>
    <t>NRJK_defl</t>
  </si>
  <si>
    <t>Πrofits_defl</t>
  </si>
  <si>
    <t>QWLT_defl_ERR</t>
  </si>
  <si>
    <t>QWLT_defl</t>
  </si>
  <si>
    <t>Y_DEFL</t>
  </si>
  <si>
    <t>Y</t>
  </si>
  <si>
    <t>L8GG</t>
  </si>
  <si>
    <t>L8GG_dec</t>
  </si>
  <si>
    <t>Y_DEFL2</t>
  </si>
  <si>
    <t>PrPRWS (BHPS/US)</t>
  </si>
  <si>
    <t>UnPSWS (BHPS/US)</t>
  </si>
  <si>
    <t>PSWS (BHPS/US)</t>
  </si>
  <si>
    <t>PbWS (BHPS/US)</t>
  </si>
  <si>
    <t>WS</t>
  </si>
  <si>
    <t>PrPSSE (BHPS/US)</t>
  </si>
  <si>
    <t>UnPSSE (BHPS/US)</t>
  </si>
  <si>
    <t>C9KA</t>
  </si>
  <si>
    <t>CZG8</t>
  </si>
  <si>
    <t>%PSSE (BHPS/US)</t>
  </si>
  <si>
    <t>EPSSE</t>
  </si>
  <si>
    <t>%PSE (BHPS)</t>
  </si>
  <si>
    <t>EPSE</t>
  </si>
  <si>
    <t>%PSProdE (BHPS/US)</t>
  </si>
  <si>
    <t>EPSProdE</t>
  </si>
  <si>
    <t>wProd</t>
  </si>
  <si>
    <t>%PSProdSE (BHPS/US)</t>
  </si>
  <si>
    <t>EProdSE</t>
  </si>
  <si>
    <t>EPSProd</t>
  </si>
  <si>
    <t>AProdSEW:</t>
  </si>
  <si>
    <t>NonProdSEI</t>
  </si>
  <si>
    <t>Wg_Prod_Empl(prv)</t>
  </si>
  <si>
    <t>Wg_UnProd_Empl(prv)</t>
  </si>
  <si>
    <t xml:space="preserve">Wg_Empl(publ) - CALC </t>
  </si>
  <si>
    <t>Wg_Empl(publ) - DAN</t>
  </si>
  <si>
    <t>VC</t>
  </si>
  <si>
    <t>VC(incl.Mixed)</t>
  </si>
  <si>
    <t>YBUY</t>
  </si>
  <si>
    <t>YBVB</t>
  </si>
  <si>
    <t>YBVE</t>
  </si>
  <si>
    <t>YCBK</t>
  </si>
  <si>
    <t>YCBN</t>
  </si>
  <si>
    <t>YCBW</t>
  </si>
  <si>
    <t>YBUS</t>
  </si>
  <si>
    <t>hpubl</t>
  </si>
  <si>
    <t>hProdE</t>
  </si>
  <si>
    <t>hProdSE</t>
  </si>
  <si>
    <t>hProd</t>
  </si>
  <si>
    <t>hUNProdE</t>
  </si>
  <si>
    <t>hUNProdSE</t>
  </si>
  <si>
    <t>hProd_Publ</t>
  </si>
  <si>
    <t>hUNProd_Publ</t>
  </si>
  <si>
    <t>hUNProd</t>
  </si>
  <si>
    <t>h(annual)</t>
  </si>
  <si>
    <t>h_ALL(annual)</t>
  </si>
  <si>
    <t>hProd(annual)</t>
  </si>
  <si>
    <t>HprodE</t>
  </si>
  <si>
    <t>HprodSE</t>
  </si>
  <si>
    <t>H_prv</t>
  </si>
  <si>
    <t>H_all</t>
  </si>
  <si>
    <t>Hprod</t>
  </si>
  <si>
    <t>D</t>
  </si>
  <si>
    <t>d</t>
  </si>
  <si>
    <t>E</t>
  </si>
  <si>
    <t>E2</t>
  </si>
  <si>
    <t>e(dec)</t>
  </si>
  <si>
    <t>e (dec)</t>
  </si>
  <si>
    <t>s' (dec)</t>
  </si>
  <si>
    <t xml:space="preserve">NLT </t>
  </si>
  <si>
    <t xml:space="preserve">SLT </t>
  </si>
  <si>
    <t>NLT (Prod)</t>
  </si>
  <si>
    <t>SLT (Prod)</t>
  </si>
  <si>
    <t>e(h)</t>
  </si>
  <si>
    <t>s'*(h)</t>
  </si>
  <si>
    <t>Rw</t>
  </si>
  <si>
    <t>RwProd</t>
  </si>
  <si>
    <t>D7BT</t>
  </si>
  <si>
    <t>px</t>
  </si>
  <si>
    <t>px2</t>
  </si>
  <si>
    <t>YBUY/[(x*YBUY)*(S'+1)]</t>
  </si>
  <si>
    <t>hprod/[(x*hprod)*(S'+1)]</t>
  </si>
  <si>
    <t>YBUY/[(x*YBUY)*(e'+1)]</t>
  </si>
  <si>
    <t>hprod/[(x*hprod)*(s'+1)]</t>
  </si>
  <si>
    <t>px(price)</t>
  </si>
  <si>
    <t>vlp(hr)</t>
  </si>
  <si>
    <t>vlp(hr)_prod</t>
  </si>
  <si>
    <t>VLP_prv_ANN</t>
  </si>
  <si>
    <t>VLP_all_ANN</t>
  </si>
  <si>
    <t>VLP_prod_ANN</t>
  </si>
  <si>
    <t>vlp</t>
  </si>
  <si>
    <t>CPI/E</t>
  </si>
  <si>
    <t>CPI/E_prod</t>
  </si>
  <si>
    <t>NLT/NLT(1992)</t>
  </si>
  <si>
    <t>SLT/SLT(1992)</t>
  </si>
  <si>
    <t>h/h(1992)</t>
  </si>
  <si>
    <t>vlp/vlp(1992)</t>
  </si>
  <si>
    <t>b/b(1992)</t>
  </si>
  <si>
    <t>e/e(1992)</t>
  </si>
  <si>
    <t>e(h)/e(h)(1992)</t>
  </si>
  <si>
    <t>λ</t>
  </si>
  <si>
    <t>px(price)/px(price)(1992)</t>
  </si>
  <si>
    <t>s'/s'(1992)</t>
  </si>
  <si>
    <t>s'(h)/s'(h)(1992)</t>
  </si>
  <si>
    <t>px2/px2(1992)</t>
  </si>
  <si>
    <t>YBGD</t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</si>
  <si>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PBL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</si>
  <si>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PRV</t>
    </r>
  </si>
  <si>
    <t>L</t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</si>
  <si>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MIX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</si>
  <si>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PRV-EMP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</si>
  <si>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PRV-EMP-PR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</si>
  <si>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PRV-EMP-UNPR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</si>
  <si>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MIX-PR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</si>
  <si>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MIX-UNPR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</si>
  <si>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PR</t>
    </r>
  </si>
  <si>
    <r>
      <rPr>
        <b/>
        <sz val="14"/>
        <rFont val="Aptos Narrow"/>
        <family val="2"/>
        <scheme val="minor"/>
      </rPr>
      <t>L</t>
    </r>
    <r>
      <rPr>
        <b/>
        <sz val="8"/>
        <rFont val="Aptos Narrow"/>
        <family val="2"/>
        <scheme val="minor"/>
      </rPr>
      <t>UNPR</t>
    </r>
  </si>
  <si>
    <r>
      <rPr>
        <b/>
        <sz val="14"/>
        <rFont val="Aptos Narrow"/>
        <family val="2"/>
        <scheme val="minor"/>
      </rPr>
      <t>VC</t>
    </r>
    <r>
      <rPr>
        <b/>
        <sz val="8"/>
        <rFont val="Aptos Narrow"/>
        <family val="2"/>
        <scheme val="minor"/>
      </rPr>
      <t>PRV-MIX-PR</t>
    </r>
  </si>
  <si>
    <r>
      <rPr>
        <b/>
        <sz val="14"/>
        <rFont val="Aptos Narrow"/>
        <family val="2"/>
        <scheme val="minor"/>
      </rPr>
      <t>W</t>
    </r>
    <r>
      <rPr>
        <b/>
        <sz val="8"/>
        <rFont val="Aptos Narrow"/>
        <family val="2"/>
        <scheme val="minor"/>
      </rPr>
      <t>PRV-MIX-UNPR</t>
    </r>
  </si>
  <si>
    <r>
      <rPr>
        <b/>
        <sz val="14"/>
        <rFont val="Aptos Narrow"/>
        <family val="2"/>
        <scheme val="minor"/>
      </rPr>
      <t>VC</t>
    </r>
    <r>
      <rPr>
        <b/>
        <sz val="8"/>
        <rFont val="Aptos Narrow"/>
        <family val="2"/>
        <scheme val="minor"/>
      </rPr>
      <t>PRV-EMP-PR</t>
    </r>
  </si>
  <si>
    <r>
      <rPr>
        <b/>
        <sz val="14"/>
        <rFont val="Aptos Narrow"/>
        <family val="2"/>
        <scheme val="minor"/>
      </rPr>
      <t>W</t>
    </r>
    <r>
      <rPr>
        <b/>
        <sz val="8"/>
        <rFont val="Aptos Narrow"/>
        <family val="2"/>
        <scheme val="minor"/>
      </rPr>
      <t>PRV-EMP-UNPR</t>
    </r>
  </si>
  <si>
    <r>
      <rPr>
        <b/>
        <sz val="14"/>
        <rFont val="Aptos Narrow"/>
        <family val="2"/>
        <scheme val="minor"/>
      </rPr>
      <t>W</t>
    </r>
    <r>
      <rPr>
        <b/>
        <sz val="8"/>
        <rFont val="Aptos Narrow"/>
        <family val="2"/>
        <scheme val="minor"/>
      </rPr>
      <t>PUBL-EMP</t>
    </r>
  </si>
  <si>
    <t>W</t>
  </si>
  <si>
    <r>
      <rPr>
        <b/>
        <sz val="14"/>
        <rFont val="Aptos Narrow"/>
        <family val="2"/>
        <scheme val="minor"/>
      </rPr>
      <t>VC</t>
    </r>
    <r>
      <rPr>
        <b/>
        <sz val="8"/>
        <rFont val="Aptos Narrow"/>
        <family val="2"/>
        <scheme val="minor"/>
      </rPr>
      <t>PRV-EMP</t>
    </r>
  </si>
  <si>
    <r>
      <rPr>
        <b/>
        <sz val="14"/>
        <rFont val="Aptos Narrow"/>
        <family val="2"/>
        <scheme val="minor"/>
      </rPr>
      <t>VC</t>
    </r>
    <r>
      <rPr>
        <b/>
        <sz val="8"/>
        <rFont val="Aptos Narrow"/>
        <family val="2"/>
        <scheme val="minor"/>
      </rPr>
      <t>PRV-PR</t>
    </r>
  </si>
  <si>
    <t>w</t>
  </si>
  <si>
    <t>w(week)</t>
  </si>
  <si>
    <t xml:space="preserve">S </t>
  </si>
  <si>
    <t>r</t>
  </si>
  <si>
    <t>R</t>
  </si>
  <si>
    <t>Av_week_hrs_all</t>
  </si>
  <si>
    <t>Av_week_hrs_prv</t>
  </si>
  <si>
    <t>h_prv</t>
  </si>
  <si>
    <t>h_ALL</t>
  </si>
  <si>
    <t>H_prv(annual)</t>
  </si>
  <si>
    <t>H_all(annual)</t>
  </si>
  <si>
    <t>Hprod(annual)</t>
  </si>
  <si>
    <t>H_prv(annual per wage earner )</t>
  </si>
  <si>
    <t>H_all (annual per wage earner )</t>
  </si>
  <si>
    <t>Hprod(annual per productive empl-self_empl)</t>
  </si>
  <si>
    <t>melt_prv</t>
  </si>
  <si>
    <t>melt_all</t>
  </si>
  <si>
    <t>melt_prod</t>
  </si>
  <si>
    <t xml:space="preserve">E </t>
  </si>
  <si>
    <t>s'</t>
  </si>
  <si>
    <t>e'_prv</t>
  </si>
  <si>
    <t>s'_pub</t>
  </si>
  <si>
    <t>s' _prod</t>
  </si>
  <si>
    <t>NLT _prv</t>
  </si>
  <si>
    <t>SLT_prv</t>
  </si>
  <si>
    <t>NLT _all</t>
  </si>
  <si>
    <t>SLT_all</t>
  </si>
  <si>
    <t>SLT</t>
  </si>
  <si>
    <t>SLTdl(24.52)</t>
  </si>
  <si>
    <t>SLTdl(9.49)</t>
  </si>
  <si>
    <t>SLTdl(11.61)</t>
  </si>
  <si>
    <t>S'(h)_prv</t>
  </si>
  <si>
    <t>S'(h)_all</t>
  </si>
  <si>
    <t>S'*(h)_prod</t>
  </si>
  <si>
    <t>w_hr_prv</t>
  </si>
  <si>
    <t>w_all_prv</t>
  </si>
  <si>
    <t>w_all_prod</t>
  </si>
  <si>
    <t>w_hr</t>
  </si>
  <si>
    <t>λ_prv</t>
  </si>
  <si>
    <t>λ_all</t>
  </si>
  <si>
    <t>λ_prod</t>
  </si>
  <si>
    <r>
      <t xml:space="preserve"> </t>
    </r>
    <r>
      <rPr>
        <b/>
        <sz val="14"/>
        <rFont val="Calibri"/>
        <family val="2"/>
      </rPr>
      <t>λm</t>
    </r>
  </si>
  <si>
    <t xml:space="preserve"> λm_prv</t>
  </si>
  <si>
    <t xml:space="preserve"> λm_prod</t>
  </si>
  <si>
    <t>px2(ann)</t>
  </si>
  <si>
    <t>vlp(hr)_prv</t>
  </si>
  <si>
    <t>vlp(hr)_all</t>
  </si>
  <si>
    <t>ω</t>
  </si>
  <si>
    <t>E/E(1992)</t>
  </si>
  <si>
    <t>w/w(1992)</t>
  </si>
  <si>
    <t>ω/ω(1992)</t>
  </si>
  <si>
    <t>x/x(1992)</t>
  </si>
  <si>
    <t>S'/S'(1992)</t>
  </si>
  <si>
    <r>
      <rPr>
        <b/>
        <i/>
        <sz val="11"/>
        <color theme="1"/>
        <rFont val="Aptos Narrow"/>
        <family val="2"/>
        <scheme val="minor"/>
      </rPr>
      <t>px</t>
    </r>
    <r>
      <rPr>
        <b/>
        <sz val="11"/>
        <color theme="1"/>
        <rFont val="Aptos Narrow"/>
        <family val="2"/>
        <scheme val="minor"/>
      </rPr>
      <t>/</t>
    </r>
    <r>
      <rPr>
        <b/>
        <i/>
        <sz val="11"/>
        <color theme="1"/>
        <rFont val="Aptos Narrow"/>
        <family val="2"/>
        <scheme val="minor"/>
      </rPr>
      <t>px</t>
    </r>
    <r>
      <rPr>
        <b/>
        <sz val="11"/>
        <color theme="1"/>
        <rFont val="Aptos Narrow"/>
        <family val="2"/>
        <scheme val="minor"/>
      </rPr>
      <t>(1992)</t>
    </r>
  </si>
  <si>
    <t>px/px(1992)</t>
  </si>
  <si>
    <r>
      <rPr>
        <b/>
        <i/>
        <sz val="11"/>
        <color rgb="FF00B050"/>
        <rFont val="Aptos Narrow"/>
        <family val="2"/>
        <scheme val="minor"/>
      </rPr>
      <t>px</t>
    </r>
    <r>
      <rPr>
        <b/>
        <sz val="11"/>
        <color rgb="FF00B050"/>
        <rFont val="Aptos Narrow"/>
        <family val="2"/>
        <scheme val="minor"/>
      </rPr>
      <t>/</t>
    </r>
    <r>
      <rPr>
        <b/>
        <i/>
        <sz val="11"/>
        <color rgb="FF00B050"/>
        <rFont val="Aptos Narrow"/>
        <family val="2"/>
        <scheme val="minor"/>
      </rPr>
      <t>px</t>
    </r>
    <r>
      <rPr>
        <b/>
        <sz val="11"/>
        <color rgb="FF00B050"/>
        <rFont val="Aptos Narrow"/>
        <family val="2"/>
        <scheme val="minor"/>
      </rPr>
      <t>(1992)</t>
    </r>
  </si>
  <si>
    <t>LPBL</t>
  </si>
  <si>
    <t>LPRV</t>
  </si>
  <si>
    <t>LMIX</t>
  </si>
  <si>
    <t>LPRV-EMP</t>
  </si>
  <si>
    <t>LPRV-EMP-PR</t>
  </si>
  <si>
    <t>LPRV-EMP-UNPR</t>
  </si>
  <si>
    <t>LMIX-PR</t>
  </si>
  <si>
    <t>LMIX-UNPR</t>
  </si>
  <si>
    <t>LPR</t>
  </si>
  <si>
    <t>LUNPR</t>
  </si>
  <si>
    <t>VCPRV-MIX-PR</t>
  </si>
  <si>
    <t>WPRV-MIX-UNPR</t>
  </si>
  <si>
    <t>VCPRV-EMP-PR</t>
  </si>
  <si>
    <t>WPRV-EMP-UNPR</t>
  </si>
  <si>
    <t>WPUBL-EMP</t>
  </si>
  <si>
    <t>VCALL-EMP</t>
  </si>
  <si>
    <t>VCALL-WORKERS</t>
  </si>
  <si>
    <t>VCPRV-PR</t>
  </si>
  <si>
    <t>wALL-EMP</t>
  </si>
  <si>
    <t>wALL-WORKERS</t>
  </si>
  <si>
    <t>wPRV-PR</t>
  </si>
  <si>
    <t>w(week)ALL-EMP</t>
  </si>
  <si>
    <t>w(week)ALL-WORKERS</t>
  </si>
  <si>
    <t>w(week)PRV-PR</t>
  </si>
  <si>
    <t>S_Π+MIX</t>
  </si>
  <si>
    <t>S _Y-HAEA</t>
  </si>
  <si>
    <t>S_Y-W</t>
  </si>
  <si>
    <t>S_Y-VC</t>
  </si>
  <si>
    <t>S_Π+Wmix+Wprv</t>
  </si>
  <si>
    <t>S_Π+Wmix+Wprv+Wpub</t>
  </si>
  <si>
    <t>Divergence (L - Tot_empl)</t>
  </si>
  <si>
    <t>e'</t>
  </si>
  <si>
    <t>s'_workers</t>
  </si>
  <si>
    <t>SLTdl(20.55)</t>
  </si>
  <si>
    <t>SLTdl(9.43)</t>
  </si>
  <si>
    <t>w_hr_empl</t>
  </si>
  <si>
    <t>w_all_workers</t>
  </si>
  <si>
    <t xml:space="preserve"> λm</t>
  </si>
  <si>
    <t xml:space="preserve"> λm_all</t>
  </si>
  <si>
    <t>vlp(hr)_a</t>
  </si>
  <si>
    <t>NPQT</t>
  </si>
  <si>
    <t>PUSF</t>
  </si>
  <si>
    <t>NPQT - PUSF</t>
  </si>
  <si>
    <t>capital/capital_1992</t>
  </si>
  <si>
    <t>melt/melt(1992)</t>
  </si>
  <si>
    <t>w_hrl/w_hrl(1992)</t>
  </si>
  <si>
    <t>λ_prv/λ_prv(1992)</t>
  </si>
  <si>
    <t>melt_all/melt_all(1992)</t>
  </si>
  <si>
    <t>NLT_all/NLT_all(1992)</t>
  </si>
  <si>
    <t>SLT_all/SLT_all(1992)</t>
  </si>
  <si>
    <t>h_all/h_all(1992)</t>
  </si>
  <si>
    <t>w_all/w_all(1992)</t>
  </si>
  <si>
    <t>vlp_all/vlp_all(1992)</t>
  </si>
  <si>
    <t>w_hrl_all/w_hr_alll(1992)</t>
  </si>
  <si>
    <t>S'_all/S'_all(1992)</t>
  </si>
  <si>
    <t>SLTdl_all</t>
  </si>
  <si>
    <t>λ_all/λ_all(1992)</t>
  </si>
  <si>
    <t>melt_prod/melt_prod(1992)</t>
  </si>
  <si>
    <t>NLT_prod/NLT_prod(1992)</t>
  </si>
  <si>
    <t>SLT_prod/SLT_prod(1992)</t>
  </si>
  <si>
    <t>h_prod/h_prod(1992)</t>
  </si>
  <si>
    <t>w_prod/w_prod(1992)</t>
  </si>
  <si>
    <t>vlp_prod/vlp_prod(1992)</t>
  </si>
  <si>
    <t>w_hrl_prod/w_hr_prod(1992)</t>
  </si>
  <si>
    <t>S'_prod/S'_prod(1992)</t>
  </si>
  <si>
    <t>SLTdl_prod</t>
  </si>
  <si>
    <t>λ_prod/λ_prod(1992)</t>
  </si>
  <si>
    <t>CPI 1992</t>
  </si>
  <si>
    <t>capital</t>
  </si>
  <si>
    <t>GFCF</t>
  </si>
  <si>
    <t>GFCG_index</t>
  </si>
  <si>
    <t>Lup/Lp_prv_empl</t>
  </si>
  <si>
    <t>Lup/Lp_mix</t>
  </si>
  <si>
    <t>Lup/Lp</t>
  </si>
  <si>
    <t>Lup+pub/Lp</t>
  </si>
  <si>
    <t>Wup/Wp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</si>
</sst>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"/>
    <numFmt numFmtId="166" formatCode="0.000"/>
    <numFmt numFmtId="167" formatCode="0.000000"/>
    <numFmt numFmtId="168" formatCode="0.00000000"/>
    <numFmt numFmtId="169" formatCode="0.00000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8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0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2" tint="-0.499984740745262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color theme="0" tint="-0.499984740745262"/>
      <name val="Aptos Narrow"/>
      <family val="2"/>
      <scheme val="minor"/>
    </font>
    <font>
      <b/>
      <sz val="8"/>
      <color rgb="FF00B05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name val="Arial"/>
      <family val="2"/>
    </font>
    <font>
      <sz val="11"/>
      <color rgb="FF00B050"/>
      <name val="Arial"/>
      <family val="2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b/>
      <sz val="9"/>
      <color theme="2" tint="-0.49998474074526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theme="2" tint="-0.499984740745262"/>
      <name val="Aptos Narrow"/>
      <family val="2"/>
      <scheme val="minor"/>
    </font>
    <font>
      <b/>
      <sz val="14"/>
      <color theme="0" tint="-0.499984740745262"/>
      <name val="Aptos Narrow"/>
      <family val="2"/>
      <scheme val="minor"/>
    </font>
    <font>
      <b/>
      <sz val="9"/>
      <color theme="0" tint="-0.499984740745262"/>
      <name val="Calibri"/>
      <family val="2"/>
    </font>
    <font>
      <b/>
      <sz val="9"/>
      <color rgb="FF00B050"/>
      <name val="Calibri"/>
      <family val="2"/>
    </font>
    <font>
      <b/>
      <i/>
      <sz val="9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theme="2" tint="-0.499984740745262"/>
      <name val="Aptos Narrow"/>
      <family val="2"/>
      <scheme val="minor"/>
    </font>
    <font>
      <b/>
      <i/>
      <sz val="8"/>
      <color theme="0" tint="-0.499984740745262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8"/>
      <color rgb="FF00B050"/>
      <name val="Aptos Narrow"/>
      <family val="2"/>
      <scheme val="minor"/>
    </font>
    <font>
      <b/>
      <i/>
      <sz val="14"/>
      <color theme="0" tint="-0.499984740745262"/>
      <name val="Aptos Narrow"/>
      <family val="2"/>
      <scheme val="minor"/>
    </font>
    <font>
      <b/>
      <sz val="14"/>
      <name val="Calibri"/>
      <family val="2"/>
    </font>
    <font>
      <b/>
      <i/>
      <sz val="14"/>
      <color rgb="FF00B050"/>
      <name val="Aptos Narrow"/>
      <family val="2"/>
      <scheme val="minor"/>
    </font>
    <font>
      <b/>
      <sz val="14"/>
      <color theme="0" tint="-0.499984740745262"/>
      <name val="Calibri"/>
      <family val="2"/>
    </font>
    <font>
      <b/>
      <i/>
      <sz val="11"/>
      <color theme="1"/>
      <name val="Aptos Narrow"/>
      <family val="2"/>
      <scheme val="minor"/>
    </font>
    <font>
      <b/>
      <i/>
      <sz val="11"/>
      <color rgb="FF00B05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color theme="0" tint="-0.499984740745262"/>
      <name val="Aptos Narrow"/>
      <family val="2"/>
      <scheme val="minor"/>
    </font>
    <font>
      <sz val="8"/>
      <color theme="2" tint="-0.499984740745262"/>
      <name val="Aptos Narrow"/>
      <family val="2"/>
      <scheme val="minor"/>
    </font>
    <font>
      <sz val="8"/>
      <name val="Arial"/>
      <family val="2"/>
    </font>
    <font>
      <sz val="8"/>
      <color rgb="FF00B05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E9CD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167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4" fillId="3" borderId="0" xfId="0" applyFont="1" applyFill="1"/>
    <xf numFmtId="2" fontId="4" fillId="3" borderId="0" xfId="0" applyNumberFormat="1" applyFont="1" applyFill="1"/>
    <xf numFmtId="0" fontId="5" fillId="2" borderId="0" xfId="0" applyFont="1" applyFill="1"/>
    <xf numFmtId="1" fontId="4" fillId="2" borderId="0" xfId="0" applyNumberFormat="1" applyFont="1" applyFill="1"/>
    <xf numFmtId="9" fontId="5" fillId="3" borderId="0" xfId="1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0" fillId="4" borderId="0" xfId="0" applyFill="1"/>
    <xf numFmtId="1" fontId="6" fillId="3" borderId="0" xfId="0" applyNumberFormat="1" applyFont="1" applyFill="1"/>
    <xf numFmtId="1" fontId="5" fillId="2" borderId="0" xfId="0" applyNumberFormat="1" applyFont="1" applyFill="1"/>
    <xf numFmtId="1" fontId="4" fillId="3" borderId="0" xfId="0" applyNumberFormat="1" applyFont="1" applyFill="1"/>
    <xf numFmtId="1" fontId="8" fillId="3" borderId="0" xfId="0" applyNumberFormat="1" applyFont="1" applyFill="1"/>
    <xf numFmtId="0" fontId="7" fillId="2" borderId="0" xfId="0" applyFont="1" applyFill="1"/>
    <xf numFmtId="1" fontId="5" fillId="3" borderId="0" xfId="0" applyNumberFormat="1" applyFont="1" applyFill="1"/>
    <xf numFmtId="0" fontId="9" fillId="3" borderId="0" xfId="0" applyFont="1" applyFill="1"/>
    <xf numFmtId="0" fontId="10" fillId="3" borderId="0" xfId="0" applyFont="1" applyFill="1"/>
    <xf numFmtId="0" fontId="5" fillId="5" borderId="0" xfId="0" applyFont="1" applyFill="1"/>
    <xf numFmtId="0" fontId="11" fillId="2" borderId="0" xfId="0" applyFont="1" applyFill="1"/>
    <xf numFmtId="0" fontId="12" fillId="3" borderId="0" xfId="0" applyFont="1" applyFill="1"/>
    <xf numFmtId="0" fontId="13" fillId="3" borderId="0" xfId="0" applyFont="1" applyFill="1"/>
    <xf numFmtId="0" fontId="5" fillId="4" borderId="0" xfId="0" applyFont="1" applyFill="1"/>
    <xf numFmtId="0" fontId="10" fillId="2" borderId="0" xfId="0" applyFont="1" applyFill="1"/>
    <xf numFmtId="0" fontId="14" fillId="3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9" fillId="2" borderId="0" xfId="0" applyFont="1" applyFill="1"/>
    <xf numFmtId="0" fontId="9" fillId="5" borderId="0" xfId="0" applyFont="1" applyFill="1"/>
    <xf numFmtId="0" fontId="17" fillId="2" borderId="0" xfId="0" applyFont="1" applyFill="1"/>
    <xf numFmtId="0" fontId="17" fillId="3" borderId="0" xfId="0" applyFont="1" applyFill="1"/>
    <xf numFmtId="164" fontId="18" fillId="2" borderId="0" xfId="0" applyNumberFormat="1" applyFont="1" applyFill="1"/>
    <xf numFmtId="0" fontId="18" fillId="3" borderId="0" xfId="0" applyFont="1" applyFill="1"/>
    <xf numFmtId="0" fontId="18" fillId="2" borderId="0" xfId="0" applyFont="1" applyFill="1"/>
    <xf numFmtId="0" fontId="19" fillId="3" borderId="0" xfId="0" applyFont="1" applyFill="1"/>
    <xf numFmtId="0" fontId="8" fillId="3" borderId="0" xfId="0" applyFont="1" applyFill="1"/>
    <xf numFmtId="2" fontId="7" fillId="3" borderId="0" xfId="0" applyNumberFormat="1" applyFont="1" applyFill="1"/>
    <xf numFmtId="0" fontId="20" fillId="2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4" fillId="3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164" fontId="26" fillId="2" borderId="0" xfId="0" applyNumberFormat="1" applyFont="1" applyFill="1" applyAlignment="1">
      <alignment vertical="center" wrapText="1"/>
    </xf>
    <xf numFmtId="0" fontId="26" fillId="3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1" fontId="22" fillId="3" borderId="0" xfId="0" applyNumberFormat="1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28" fillId="5" borderId="0" xfId="0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39" fillId="3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0" fillId="3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1" fillId="5" borderId="0" xfId="0" applyFont="1" applyFill="1" applyAlignment="1">
      <alignment horizontal="center"/>
    </xf>
    <xf numFmtId="0" fontId="42" fillId="3" borderId="0" xfId="0" applyFont="1" applyFill="1" applyAlignment="1">
      <alignment horizontal="center"/>
    </xf>
    <xf numFmtId="0" fontId="43" fillId="3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center"/>
    </xf>
    <xf numFmtId="0" fontId="2" fillId="2" borderId="0" xfId="0" applyFont="1" applyFill="1"/>
    <xf numFmtId="0" fontId="26" fillId="3" borderId="0" xfId="0" applyFont="1" applyFill="1" applyAlignment="1">
      <alignment horizontal="center"/>
    </xf>
    <xf numFmtId="0" fontId="2" fillId="3" borderId="0" xfId="0" applyFont="1" applyFill="1"/>
    <xf numFmtId="0" fontId="26" fillId="2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0" xfId="0" applyFont="1" applyFill="1"/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46" fillId="3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47" fillId="3" borderId="0" xfId="0" applyFont="1" applyFill="1" applyAlignment="1">
      <alignment horizontal="center"/>
    </xf>
    <xf numFmtId="0" fontId="37" fillId="2" borderId="0" xfId="0" applyFont="1" applyFill="1"/>
    <xf numFmtId="1" fontId="50" fillId="2" borderId="0" xfId="0" applyNumberFormat="1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165" fontId="4" fillId="3" borderId="0" xfId="0" applyNumberFormat="1" applyFont="1" applyFill="1"/>
    <xf numFmtId="0" fontId="50" fillId="2" borderId="0" xfId="0" applyFont="1" applyFill="1"/>
    <xf numFmtId="166" fontId="4" fillId="3" borderId="0" xfId="0" applyNumberFormat="1" applyFont="1" applyFill="1"/>
    <xf numFmtId="164" fontId="4" fillId="3" borderId="0" xfId="0" applyNumberFormat="1" applyFont="1" applyFill="1"/>
    <xf numFmtId="2" fontId="4" fillId="2" borderId="0" xfId="0" applyNumberFormat="1" applyFont="1" applyFill="1"/>
    <xf numFmtId="166" fontId="8" fillId="3" borderId="0" xfId="0" applyNumberFormat="1" applyFont="1" applyFill="1"/>
    <xf numFmtId="166" fontId="51" fillId="3" borderId="0" xfId="0" applyNumberFormat="1" applyFont="1" applyFill="1"/>
    <xf numFmtId="0" fontId="50" fillId="3" borderId="0" xfId="2" applyFont="1" applyFill="1"/>
    <xf numFmtId="1" fontId="50" fillId="3" borderId="0" xfId="2" applyNumberFormat="1" applyFont="1" applyFill="1"/>
    <xf numFmtId="167" fontId="4" fillId="3" borderId="0" xfId="0" applyNumberFormat="1" applyFont="1" applyFill="1"/>
    <xf numFmtId="1" fontId="50" fillId="3" borderId="0" xfId="0" applyNumberFormat="1" applyFont="1" applyFill="1"/>
    <xf numFmtId="167" fontId="50" fillId="3" borderId="0" xfId="0" applyNumberFormat="1" applyFont="1" applyFill="1"/>
    <xf numFmtId="167" fontId="4" fillId="3" borderId="0" xfId="3" applyNumberFormat="1" applyFont="1" applyFill="1"/>
    <xf numFmtId="168" fontId="4" fillId="3" borderId="0" xfId="0" applyNumberFormat="1" applyFont="1" applyFill="1"/>
    <xf numFmtId="1" fontId="50" fillId="4" borderId="0" xfId="0" applyNumberFormat="1" applyFont="1" applyFill="1"/>
    <xf numFmtId="166" fontId="51" fillId="2" borderId="0" xfId="0" applyNumberFormat="1" applyFont="1" applyFill="1"/>
    <xf numFmtId="165" fontId="51" fillId="3" borderId="0" xfId="0" applyNumberFormat="1" applyFont="1" applyFill="1"/>
    <xf numFmtId="2" fontId="8" fillId="3" borderId="0" xfId="0" applyNumberFormat="1" applyFont="1" applyFill="1"/>
    <xf numFmtId="2" fontId="51" fillId="3" borderId="0" xfId="0" applyNumberFormat="1" applyFont="1" applyFill="1"/>
    <xf numFmtId="2" fontId="4" fillId="3" borderId="0" xfId="3" applyNumberFormat="1" applyFont="1" applyFill="1"/>
    <xf numFmtId="2" fontId="52" fillId="3" borderId="0" xfId="3" applyNumberFormat="1" applyFont="1" applyFill="1"/>
    <xf numFmtId="2" fontId="52" fillId="3" borderId="0" xfId="0" applyNumberFormat="1" applyFont="1" applyFill="1"/>
    <xf numFmtId="2" fontId="4" fillId="5" borderId="0" xfId="0" applyNumberFormat="1" applyFont="1" applyFill="1"/>
    <xf numFmtId="1" fontId="4" fillId="5" borderId="0" xfId="0" applyNumberFormat="1" applyFont="1" applyFill="1"/>
    <xf numFmtId="2" fontId="53" fillId="2" borderId="0" xfId="0" applyNumberFormat="1" applyFont="1" applyFill="1"/>
    <xf numFmtId="2" fontId="53" fillId="3" borderId="0" xfId="0" applyNumberFormat="1" applyFont="1" applyFill="1"/>
    <xf numFmtId="169" fontId="4" fillId="2" borderId="0" xfId="0" applyNumberFormat="1" applyFont="1" applyFill="1"/>
    <xf numFmtId="169" fontId="52" fillId="3" borderId="0" xfId="0" applyNumberFormat="1" applyFont="1" applyFill="1"/>
    <xf numFmtId="169" fontId="4" fillId="5" borderId="0" xfId="0" applyNumberFormat="1" applyFont="1" applyFill="1"/>
    <xf numFmtId="169" fontId="4" fillId="3" borderId="0" xfId="0" applyNumberFormat="1" applyFont="1" applyFill="1"/>
    <xf numFmtId="2" fontId="4" fillId="4" borderId="0" xfId="0" applyNumberFormat="1" applyFont="1" applyFill="1"/>
    <xf numFmtId="166" fontId="52" fillId="2" borderId="0" xfId="0" applyNumberFormat="1" applyFont="1" applyFill="1"/>
    <xf numFmtId="2" fontId="52" fillId="2" borderId="0" xfId="0" applyNumberFormat="1" applyFont="1" applyFill="1"/>
    <xf numFmtId="166" fontId="52" fillId="3" borderId="0" xfId="0" applyNumberFormat="1" applyFont="1" applyFill="1"/>
    <xf numFmtId="164" fontId="4" fillId="2" borderId="0" xfId="0" applyNumberFormat="1" applyFont="1" applyFill="1"/>
    <xf numFmtId="164" fontId="4" fillId="5" borderId="0" xfId="0" applyNumberFormat="1" applyFont="1" applyFill="1"/>
    <xf numFmtId="164" fontId="50" fillId="3" borderId="0" xfId="0" applyNumberFormat="1" applyFont="1" applyFill="1"/>
    <xf numFmtId="168" fontId="4" fillId="2" borderId="0" xfId="0" applyNumberFormat="1" applyFont="1" applyFill="1"/>
    <xf numFmtId="168" fontId="4" fillId="5" borderId="0" xfId="0" applyNumberFormat="1" applyFont="1" applyFill="1"/>
    <xf numFmtId="169" fontId="52" fillId="2" borderId="0" xfId="0" applyNumberFormat="1" applyFont="1" applyFill="1"/>
    <xf numFmtId="169" fontId="8" fillId="3" borderId="0" xfId="0" applyNumberFormat="1" applyFont="1" applyFill="1"/>
    <xf numFmtId="164" fontId="52" fillId="3" borderId="0" xfId="0" applyNumberFormat="1" applyFont="1" applyFill="1"/>
    <xf numFmtId="164" fontId="8" fillId="3" borderId="0" xfId="0" applyNumberFormat="1" applyFont="1" applyFill="1"/>
    <xf numFmtId="166" fontId="4" fillId="5" borderId="0" xfId="0" applyNumberFormat="1" applyFont="1" applyFill="1"/>
    <xf numFmtId="164" fontId="52" fillId="2" borderId="0" xfId="0" applyNumberFormat="1" applyFont="1" applyFill="1"/>
    <xf numFmtId="2" fontId="9" fillId="2" borderId="0" xfId="0" applyNumberFormat="1" applyFont="1" applyFill="1"/>
    <xf numFmtId="2" fontId="9" fillId="3" borderId="0" xfId="0" applyNumberFormat="1" applyFont="1" applyFill="1"/>
    <xf numFmtId="2" fontId="13" fillId="3" borderId="0" xfId="0" applyNumberFormat="1" applyFont="1" applyFill="1"/>
    <xf numFmtId="0" fontId="52" fillId="3" borderId="0" xfId="0" applyFont="1" applyFill="1"/>
    <xf numFmtId="0" fontId="54" fillId="3" borderId="0" xfId="0" applyFont="1" applyFill="1"/>
    <xf numFmtId="0" fontId="50" fillId="3" borderId="0" xfId="0" applyFont="1" applyFill="1"/>
    <xf numFmtId="1" fontId="55" fillId="3" borderId="0" xfId="0" applyNumberFormat="1" applyFont="1" applyFill="1"/>
    <xf numFmtId="165" fontId="9" fillId="2" borderId="0" xfId="0" applyNumberFormat="1" applyFont="1" applyFill="1"/>
    <xf numFmtId="0" fontId="56" fillId="2" borderId="0" xfId="0" applyFont="1" applyFill="1"/>
  </cellXfs>
  <cellStyles count="4">
    <cellStyle name="Normal" xfId="0" builtinId="0"/>
    <cellStyle name="Normal 2" xfId="3" xr:uid="{FBDEC28B-5A16-4F65-87E7-0052D3A910C7}"/>
    <cellStyle name="Normal 3 2" xfId="2" xr:uid="{20D93876-24FA-476D-B552-EB6C51E73BB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0B32-04DA-4CEE-BCA6-00021F46548E}">
  <dimension ref="A1:JI36"/>
  <sheetViews>
    <sheetView workbookViewId="0">
      <selection activeCell="G4" sqref="G4"/>
    </sheetView>
  </sheetViews>
  <sheetFormatPr defaultRowHeight="14.5" x14ac:dyDescent="0.35"/>
  <cols>
    <col min="1" max="1" width="6.54296875" style="166" customWidth="1"/>
    <col min="2" max="2" width="13.81640625" style="2" customWidth="1"/>
    <col min="3" max="5" width="13.81640625" style="3" customWidth="1"/>
    <col min="6" max="6" width="13.81640625" style="4" customWidth="1"/>
    <col min="7" max="10" width="13.81640625" style="2" customWidth="1"/>
    <col min="11" max="18" width="13.81640625" style="3" customWidth="1"/>
    <col min="19" max="19" width="15.81640625" style="4" customWidth="1"/>
    <col min="20" max="20" width="13.81640625" style="3" customWidth="1"/>
    <col min="21" max="21" width="13.81640625" style="4" customWidth="1"/>
    <col min="22" max="22" width="15.7265625" style="4" customWidth="1"/>
    <col min="23" max="23" width="13.81640625" style="6" customWidth="1"/>
    <col min="24" max="25" width="10.90625" style="3" customWidth="1"/>
    <col min="26" max="26" width="13.81640625" style="3" customWidth="1"/>
    <col min="27" max="29" width="13.81640625" style="9" customWidth="1"/>
    <col min="30" max="30" width="13.81640625" style="10" customWidth="1"/>
    <col min="31" max="32" width="13.81640625" style="9" customWidth="1"/>
    <col min="33" max="35" width="13.81640625" style="11" customWidth="1"/>
    <col min="36" max="36" width="13.81640625" style="9" customWidth="1"/>
    <col min="37" max="38" width="13.81640625" style="12" customWidth="1"/>
    <col min="39" max="39" width="13.81640625" style="9" customWidth="1"/>
    <col min="40" max="42" width="13.81640625" style="12" customWidth="1"/>
    <col min="43" max="43" width="13.81640625" style="9" customWidth="1"/>
    <col min="44" max="45" width="13.81640625" style="12" customWidth="1"/>
    <col min="46" max="47" width="13.81640625" style="9" customWidth="1"/>
    <col min="48" max="49" width="13.81640625" style="12" customWidth="1"/>
    <col min="50" max="51" width="13.81640625" style="13" customWidth="1"/>
    <col min="52" max="54" width="13.81640625" style="9" customWidth="1"/>
    <col min="55" max="55" width="15.08984375" style="9" customWidth="1"/>
    <col min="56" max="56" width="16.36328125" style="10" customWidth="1"/>
    <col min="57" max="57" width="16.36328125" style="9" customWidth="1"/>
    <col min="58" max="58" width="13.81640625" style="3" customWidth="1"/>
    <col min="59" max="59" width="13.81640625" style="4" customWidth="1"/>
    <col min="60" max="60" width="13.81640625" style="9" customWidth="1"/>
    <col min="61" max="61" width="16.36328125" style="10" customWidth="1"/>
    <col min="62" max="62" width="16.36328125" style="6" customWidth="1"/>
    <col min="63" max="63" width="16.36328125" style="9" customWidth="1"/>
    <col min="64" max="65" width="21.90625" style="6" customWidth="1"/>
    <col min="66" max="66" width="21.90625" style="9" customWidth="1"/>
    <col min="67" max="68" width="21.90625" style="6" customWidth="1"/>
    <col min="69" max="69" width="21.90625" style="9" customWidth="1"/>
    <col min="70" max="70" width="21.90625" style="6" customWidth="1"/>
    <col min="71" max="71" width="21.90625" style="9" customWidth="1"/>
    <col min="72" max="72" width="21.90625" style="6" customWidth="1"/>
    <col min="73" max="73" width="21.90625" style="9" customWidth="1"/>
    <col min="74" max="74" width="21.90625" style="10" customWidth="1"/>
    <col min="75" max="75" width="21.90625" style="6" customWidth="1"/>
    <col min="76" max="76" width="21.90625" style="9" customWidth="1"/>
    <col min="77" max="77" width="21.90625" style="18" customWidth="1"/>
    <col min="78" max="78" width="21.90625" style="11" customWidth="1"/>
    <col min="79" max="84" width="13.90625" style="9" customWidth="1"/>
    <col min="85" max="85" width="15.08984375" style="9" customWidth="1"/>
    <col min="86" max="90" width="13.90625" style="9" customWidth="1"/>
    <col min="91" max="91" width="13.90625" style="11" customWidth="1"/>
    <col min="92" max="92" width="17.54296875" style="9" customWidth="1"/>
    <col min="93" max="93" width="13.90625" style="9" customWidth="1"/>
    <col min="94" max="94" width="21" style="10" customWidth="1"/>
    <col min="95" max="95" width="21" style="11" customWidth="1"/>
    <col min="96" max="96" width="13.81640625" style="20" customWidth="1"/>
    <col min="97" max="97" width="13.81640625" style="9" customWidth="1"/>
    <col min="98" max="100" width="19.453125" style="9" customWidth="1"/>
    <col min="101" max="101" width="13.81640625" style="21" customWidth="1"/>
    <col min="102" max="102" width="19.453125" style="21" customWidth="1"/>
    <col min="103" max="105" width="19.453125" style="9" customWidth="1"/>
    <col min="106" max="106" width="21" style="6" customWidth="1"/>
    <col min="107" max="107" width="21" style="22" customWidth="1"/>
    <col min="108" max="108" width="19.453125" style="9" customWidth="1"/>
    <col min="109" max="109" width="22.54296875" style="11" customWidth="1"/>
    <col min="110" max="110" width="22.54296875" style="9" customWidth="1"/>
    <col min="111" max="111" width="21" style="11" customWidth="1"/>
    <col min="112" max="112" width="21" style="9" customWidth="1"/>
    <col min="113" max="113" width="21" style="6" customWidth="1"/>
    <col min="114" max="114" width="21" style="22" customWidth="1"/>
    <col min="115" max="115" width="21" style="9" customWidth="1"/>
    <col min="116" max="116" width="21" style="6" customWidth="1"/>
    <col min="117" max="117" width="21" style="22" customWidth="1"/>
    <col min="118" max="118" width="21" style="9" customWidth="1"/>
    <col min="119" max="119" width="19.81640625" style="6" customWidth="1"/>
    <col min="120" max="120" width="19.81640625" style="22" customWidth="1"/>
    <col min="121" max="121" width="29.6328125" style="9" customWidth="1"/>
    <col min="122" max="122" width="21" style="6" customWidth="1"/>
    <col min="123" max="123" width="21" style="22" customWidth="1"/>
    <col min="124" max="124" width="24.453125" style="20" customWidth="1"/>
    <col min="125" max="125" width="21" style="23" customWidth="1"/>
    <col min="126" max="126" width="19.54296875" style="24" customWidth="1"/>
    <col min="127" max="127" width="19.54296875" style="25" customWidth="1"/>
    <col min="128" max="128" width="21" style="23" customWidth="1"/>
    <col min="129" max="129" width="24.26953125" style="24" customWidth="1"/>
    <col min="130" max="130" width="21" style="23" customWidth="1"/>
    <col min="131" max="131" width="19.54296875" style="24" customWidth="1"/>
    <col min="132" max="132" width="19.54296875" style="25" customWidth="1"/>
    <col min="133" max="133" width="21.90625" style="6" customWidth="1"/>
    <col min="134" max="134" width="21.90625" style="21" customWidth="1"/>
    <col min="135" max="135" width="18.1796875" style="6" customWidth="1"/>
    <col min="136" max="136" width="18.1796875" style="22" customWidth="1"/>
    <col min="137" max="137" width="13.81640625" style="9" customWidth="1"/>
    <col min="138" max="139" width="13.81640625" style="6" customWidth="1"/>
    <col min="140" max="141" width="13.81640625" style="22" customWidth="1"/>
    <col min="142" max="143" width="13.81640625" style="26" customWidth="1"/>
    <col min="144" max="145" width="13.81640625" style="27" customWidth="1"/>
    <col min="146" max="147" width="13.81640625" style="21" customWidth="1"/>
    <col min="148" max="149" width="13.81640625" style="10" customWidth="1"/>
    <col min="150" max="150" width="13.81640625" style="6" customWidth="1"/>
    <col min="151" max="151" width="13.81640625" style="22" customWidth="1"/>
    <col min="152" max="152" width="13.81640625" style="9" customWidth="1"/>
    <col min="153" max="153" width="13.81640625" style="27" customWidth="1"/>
    <col min="154" max="154" width="13.81640625" style="21" customWidth="1"/>
    <col min="155" max="155" width="13.81640625" style="10" customWidth="1"/>
    <col min="156" max="156" width="13.81640625" style="6" customWidth="1"/>
    <col min="157" max="157" width="13.81640625" style="22" customWidth="1"/>
    <col min="158" max="158" width="14.26953125" style="9" customWidth="1"/>
    <col min="159" max="159" width="13.81640625" style="27" customWidth="1"/>
    <col min="160" max="160" width="14.26953125" style="21" customWidth="1"/>
    <col min="161" max="161" width="13.81640625" style="10" customWidth="1"/>
    <col min="162" max="162" width="13.81640625" style="6" customWidth="1"/>
    <col min="163" max="163" width="13.81640625" style="22" customWidth="1"/>
    <col min="164" max="164" width="16" style="9" customWidth="1"/>
    <col min="165" max="165" width="19.54296875" style="34" customWidth="1"/>
    <col min="166" max="166" width="19.54296875" style="35" customWidth="1"/>
    <col min="167" max="167" width="13.81640625" style="27" customWidth="1"/>
    <col min="168" max="168" width="16" style="21" customWidth="1"/>
    <col min="169" max="169" width="16" style="10" customWidth="1"/>
    <col min="170" max="170" width="13.81640625" style="32" customWidth="1"/>
    <col min="171" max="171" width="19.54296875" style="32" customWidth="1"/>
    <col min="172" max="172" width="19.54296875" style="33" customWidth="1"/>
    <col min="173" max="173" width="19.54296875" style="12" customWidth="1"/>
    <col min="174" max="174" width="21" style="6" customWidth="1"/>
    <col min="175" max="175" width="21" style="22" customWidth="1"/>
    <col min="176" max="176" width="19.54296875" style="20" customWidth="1"/>
    <col min="177" max="177" width="19.54296875" style="34" customWidth="1"/>
    <col min="178" max="178" width="19.54296875" style="35" customWidth="1"/>
    <col min="179" max="179" width="19.54296875" style="25" customWidth="1"/>
    <col min="180" max="180" width="19.54296875" style="34" customWidth="1"/>
    <col min="181" max="182" width="19.54296875" style="35" customWidth="1"/>
    <col min="183" max="183" width="19.54296875" style="25" customWidth="1"/>
    <col min="184" max="184" width="19.54296875" style="34" customWidth="1"/>
    <col min="185" max="185" width="16" style="21" customWidth="1"/>
    <col min="186" max="186" width="19.54296875" style="34" customWidth="1"/>
    <col min="187" max="187" width="16" style="21" customWidth="1"/>
    <col min="188" max="188" width="16" style="10" customWidth="1"/>
    <col min="189" max="189" width="19.54296875" style="34" customWidth="1"/>
    <col min="190" max="190" width="16" style="21" customWidth="1"/>
    <col min="191" max="191" width="16" style="10" customWidth="1"/>
    <col min="192" max="192" width="19.54296875" style="34" customWidth="1"/>
    <col min="193" max="193" width="16" style="21" customWidth="1"/>
    <col min="194" max="194" width="19.54296875" style="34" customWidth="1"/>
    <col min="195" max="196" width="16" style="21" customWidth="1"/>
    <col min="197" max="197" width="16" style="6" customWidth="1"/>
    <col min="198" max="198" width="16" style="22" customWidth="1"/>
    <col min="199" max="199" width="16" style="9" customWidth="1"/>
    <col min="200" max="200" width="16" style="6" customWidth="1"/>
    <col min="201" max="201" width="16" style="22" customWidth="1"/>
    <col min="202" max="202" width="16" style="9" customWidth="1"/>
    <col min="203" max="203" width="16" style="10" customWidth="1"/>
    <col min="204" max="204" width="16" style="27" customWidth="1"/>
    <col min="205" max="205" width="16" style="21" customWidth="1"/>
    <col min="206" max="206" width="16" style="27" customWidth="1"/>
    <col min="207" max="207" width="16" style="21" customWidth="1"/>
    <col min="208" max="208" width="16" style="27" customWidth="1"/>
    <col min="209" max="209" width="16.54296875" style="21" customWidth="1"/>
    <col min="210" max="210" width="16.54296875" style="10" customWidth="1"/>
    <col min="211" max="211" width="16.54296875" style="27" customWidth="1"/>
    <col min="212" max="212" width="16.54296875" style="21" customWidth="1"/>
    <col min="213" max="213" width="13.81640625" style="34" customWidth="1"/>
    <col min="214" max="214" width="13.81640625" style="35" customWidth="1"/>
    <col min="215" max="215" width="16" style="36" customWidth="1"/>
    <col min="216" max="216" width="15.1796875" style="2" customWidth="1"/>
    <col min="217" max="220" width="13" style="2" customWidth="1"/>
    <col min="221" max="221" width="14.54296875" style="2" customWidth="1"/>
    <col min="222" max="222" width="8.7265625" style="2"/>
    <col min="223" max="223" width="14.26953125" style="2" customWidth="1"/>
    <col min="224" max="225" width="12.36328125" style="2" customWidth="1"/>
    <col min="226" max="226" width="16" style="37" customWidth="1"/>
    <col min="227" max="227" width="15.1796875" style="12" customWidth="1"/>
    <col min="228" max="231" width="13" style="12" customWidth="1"/>
    <col min="232" max="232" width="14.54296875" style="12" customWidth="1"/>
    <col min="233" max="236" width="8.7265625" style="12"/>
    <col min="237" max="237" width="16" style="38" customWidth="1"/>
    <col min="238" max="238" width="15.1796875" style="2" customWidth="1"/>
    <col min="239" max="242" width="13" style="2" customWidth="1"/>
    <col min="243" max="243" width="14.54296875" style="2" customWidth="1"/>
    <col min="244" max="247" width="8.7265625" style="2"/>
    <col min="248" max="248" width="16" style="37" customWidth="1"/>
    <col min="249" max="249" width="15.1796875" style="12" customWidth="1"/>
    <col min="250" max="253" width="13" style="12" customWidth="1"/>
    <col min="254" max="254" width="14.54296875" style="12" customWidth="1"/>
    <col min="255" max="258" width="11.6328125" style="12" customWidth="1"/>
    <col min="259" max="259" width="16" style="39" customWidth="1"/>
    <col min="260" max="260" width="15.1796875" style="25" customWidth="1"/>
    <col min="261" max="264" width="13" style="25" customWidth="1"/>
    <col min="265" max="265" width="14.54296875" style="25" customWidth="1"/>
    <col min="266" max="267" width="8.7265625" style="25"/>
    <col min="268" max="269" width="12.1796875" style="25" customWidth="1"/>
  </cols>
  <sheetData>
    <row r="1" spans="1:269" ht="21" x14ac:dyDescent="0.5">
      <c r="A1" s="1" t="s">
        <v>0</v>
      </c>
      <c r="S1" s="5">
        <v>240630075187.96991</v>
      </c>
      <c r="X1" s="7">
        <v>882013317607.74475</v>
      </c>
      <c r="Y1" s="7">
        <f>X2-X1</f>
        <v>985760521085.39172</v>
      </c>
      <c r="AA1" s="8"/>
      <c r="BH1" s="14"/>
      <c r="BI1" s="14"/>
      <c r="BJ1" s="15"/>
      <c r="BR1" s="15">
        <v>400082586943.04663</v>
      </c>
      <c r="BS1" s="16"/>
      <c r="BT1" s="15"/>
      <c r="BU1" s="16"/>
      <c r="BV1" s="17"/>
      <c r="BW1" s="15"/>
      <c r="CN1" s="19">
        <v>843407092689427</v>
      </c>
      <c r="DE1" s="11" t="s">
        <v>1</v>
      </c>
      <c r="DK1" s="9">
        <v>1214231670.1332581</v>
      </c>
      <c r="FH1" s="28"/>
      <c r="FI1" s="29"/>
      <c r="FJ1" s="30"/>
      <c r="FL1" s="30"/>
      <c r="FM1" s="31"/>
      <c r="FU1" s="29"/>
      <c r="FV1" s="30"/>
      <c r="FX1" s="29"/>
      <c r="FY1" s="30"/>
      <c r="FZ1" s="30"/>
      <c r="GB1" s="34">
        <v>5.9835127493863598E-2</v>
      </c>
      <c r="HP1" s="2" t="s">
        <v>2</v>
      </c>
      <c r="HQ1" s="2" t="s">
        <v>3</v>
      </c>
      <c r="HR1" s="37" t="s">
        <v>4</v>
      </c>
      <c r="HS1" s="12" t="s">
        <v>5</v>
      </c>
      <c r="HT1" s="12" t="s">
        <v>6</v>
      </c>
    </row>
    <row r="2" spans="1:269" ht="21" x14ac:dyDescent="0.5">
      <c r="A2" s="1"/>
      <c r="J2" s="18"/>
      <c r="S2" s="5">
        <v>680597392790.56152</v>
      </c>
      <c r="X2" s="7">
        <v>1867773838693.1365</v>
      </c>
      <c r="AA2" s="8" t="s">
        <v>7</v>
      </c>
      <c r="AB2" s="8" t="s">
        <v>7</v>
      </c>
      <c r="AG2" s="11" t="s">
        <v>8</v>
      </c>
      <c r="AH2" s="11" t="s">
        <v>8</v>
      </c>
      <c r="BJ2" s="15"/>
      <c r="BS2" s="4"/>
      <c r="BU2" s="4"/>
      <c r="BV2" s="40"/>
      <c r="BZ2" s="41">
        <v>882013317607.74475</v>
      </c>
      <c r="CN2" s="19">
        <v>710663061.6849215</v>
      </c>
      <c r="DI2" s="6">
        <v>114985800</v>
      </c>
      <c r="DK2" s="19">
        <v>380304218.938326</v>
      </c>
      <c r="DX2" s="23" t="s">
        <v>9</v>
      </c>
      <c r="DY2" s="24" t="s">
        <v>9</v>
      </c>
      <c r="DZ2" s="23" t="s">
        <v>9</v>
      </c>
      <c r="EA2" s="24" t="s">
        <v>9</v>
      </c>
      <c r="EB2" s="25" t="s">
        <v>9</v>
      </c>
      <c r="FO2" s="42" t="s">
        <v>10</v>
      </c>
      <c r="FP2" s="43"/>
      <c r="FQ2" s="44" t="s">
        <v>11</v>
      </c>
      <c r="FR2" s="6" t="s">
        <v>9</v>
      </c>
      <c r="FS2" s="22" t="s">
        <v>9</v>
      </c>
      <c r="FT2" s="20" t="s">
        <v>9</v>
      </c>
      <c r="FU2" s="34" t="s">
        <v>12</v>
      </c>
      <c r="FV2" s="35" t="s">
        <v>12</v>
      </c>
      <c r="FW2" s="20" t="s">
        <v>12</v>
      </c>
      <c r="FX2" s="34" t="s">
        <v>12</v>
      </c>
      <c r="FY2" s="35" t="s">
        <v>12</v>
      </c>
      <c r="FZ2" s="21" t="s">
        <v>13</v>
      </c>
      <c r="GA2" s="9" t="s">
        <v>13</v>
      </c>
      <c r="GB2" s="34" t="s">
        <v>12</v>
      </c>
      <c r="GC2" s="21" t="s">
        <v>12</v>
      </c>
      <c r="GD2" s="34" t="s">
        <v>13</v>
      </c>
      <c r="GE2" s="21" t="s">
        <v>13</v>
      </c>
      <c r="GF2" s="10" t="s">
        <v>13</v>
      </c>
      <c r="GJ2" s="34" t="s">
        <v>13</v>
      </c>
      <c r="GK2" s="21" t="s">
        <v>13</v>
      </c>
      <c r="GL2" s="34" t="s">
        <v>13</v>
      </c>
      <c r="GM2" s="21" t="s">
        <v>13</v>
      </c>
      <c r="GN2" s="21" t="s">
        <v>13</v>
      </c>
    </row>
    <row r="3" spans="1:269" ht="72" x14ac:dyDescent="0.35">
      <c r="A3" s="42"/>
      <c r="B3" s="45" t="s">
        <v>14</v>
      </c>
      <c r="C3" s="42" t="s">
        <v>15</v>
      </c>
      <c r="D3" s="42" t="s">
        <v>16</v>
      </c>
      <c r="E3" s="45" t="s">
        <v>17</v>
      </c>
      <c r="F3" s="46" t="s">
        <v>18</v>
      </c>
      <c r="G3" s="42" t="s">
        <v>19</v>
      </c>
      <c r="H3" s="42" t="s">
        <v>20</v>
      </c>
      <c r="I3" s="42" t="s">
        <v>21</v>
      </c>
      <c r="J3" s="42" t="s">
        <v>22</v>
      </c>
      <c r="K3" s="42" t="s">
        <v>23</v>
      </c>
      <c r="L3" s="42" t="s">
        <v>24</v>
      </c>
      <c r="M3" s="42" t="s">
        <v>25</v>
      </c>
      <c r="N3" s="42" t="s">
        <v>26</v>
      </c>
      <c r="O3" s="42" t="s">
        <v>27</v>
      </c>
      <c r="P3" s="42" t="s">
        <v>28</v>
      </c>
      <c r="Q3" s="42" t="s">
        <v>29</v>
      </c>
      <c r="R3" s="42" t="s">
        <v>30</v>
      </c>
      <c r="S3" s="47" t="s">
        <v>31</v>
      </c>
      <c r="T3" s="42" t="s">
        <v>32</v>
      </c>
      <c r="U3" s="47" t="s">
        <v>33</v>
      </c>
      <c r="V3" s="47" t="s">
        <v>34</v>
      </c>
      <c r="W3" s="42" t="s">
        <v>35</v>
      </c>
      <c r="X3" s="42" t="s">
        <v>36</v>
      </c>
      <c r="Y3" s="42" t="s">
        <v>37</v>
      </c>
      <c r="Z3" s="42" t="s">
        <v>38</v>
      </c>
      <c r="AA3" s="47" t="s">
        <v>39</v>
      </c>
      <c r="AB3" s="47" t="s">
        <v>40</v>
      </c>
      <c r="AC3" s="47" t="s">
        <v>41</v>
      </c>
      <c r="AD3" s="48" t="s">
        <v>42</v>
      </c>
      <c r="AE3" s="47" t="s">
        <v>43</v>
      </c>
      <c r="AF3" s="47" t="s">
        <v>44</v>
      </c>
      <c r="AG3" s="49" t="s">
        <v>45</v>
      </c>
      <c r="AH3" s="49" t="s">
        <v>46</v>
      </c>
      <c r="AI3" s="49"/>
      <c r="AJ3" s="47" t="s">
        <v>47</v>
      </c>
      <c r="AK3" s="47" t="s">
        <v>48</v>
      </c>
      <c r="AL3" s="47"/>
      <c r="AM3" s="47" t="s">
        <v>49</v>
      </c>
      <c r="AN3" s="47" t="s">
        <v>50</v>
      </c>
      <c r="AO3" s="47" t="s">
        <v>51</v>
      </c>
      <c r="AP3" s="47" t="s">
        <v>52</v>
      </c>
      <c r="AQ3" s="47" t="s">
        <v>53</v>
      </c>
      <c r="AR3" s="47" t="s">
        <v>54</v>
      </c>
      <c r="AS3" s="47" t="s">
        <v>55</v>
      </c>
      <c r="AT3" s="47" t="s">
        <v>56</v>
      </c>
      <c r="AU3" s="47" t="s">
        <v>57</v>
      </c>
      <c r="AV3" s="47" t="s">
        <v>58</v>
      </c>
      <c r="AW3" s="47" t="s">
        <v>59</v>
      </c>
      <c r="AX3" s="50" t="s">
        <v>60</v>
      </c>
      <c r="AY3" s="50" t="s">
        <v>61</v>
      </c>
      <c r="AZ3" s="47" t="s">
        <v>62</v>
      </c>
      <c r="BA3" s="47" t="s">
        <v>63</v>
      </c>
      <c r="BB3" s="47" t="s">
        <v>64</v>
      </c>
      <c r="BC3" s="47" t="s">
        <v>65</v>
      </c>
      <c r="BD3" s="48" t="s">
        <v>66</v>
      </c>
      <c r="BE3" s="47"/>
      <c r="BF3" s="45" t="s">
        <v>18</v>
      </c>
      <c r="BG3" s="46"/>
      <c r="BH3" s="47" t="s">
        <v>43</v>
      </c>
      <c r="BI3" s="48" t="s">
        <v>67</v>
      </c>
      <c r="BJ3" s="42" t="s">
        <v>68</v>
      </c>
      <c r="BK3" s="47" t="s">
        <v>69</v>
      </c>
      <c r="BL3" s="42" t="s">
        <v>70</v>
      </c>
      <c r="BM3" s="42" t="s">
        <v>71</v>
      </c>
      <c r="BN3" s="47" t="s">
        <v>72</v>
      </c>
      <c r="BO3" s="42" t="s">
        <v>73</v>
      </c>
      <c r="BP3" s="42" t="s">
        <v>74</v>
      </c>
      <c r="BQ3" s="47" t="s">
        <v>75</v>
      </c>
      <c r="BR3" s="42" t="s">
        <v>76</v>
      </c>
      <c r="BS3" s="47" t="s">
        <v>76</v>
      </c>
      <c r="BT3" s="42" t="s">
        <v>77</v>
      </c>
      <c r="BU3" s="47" t="s">
        <v>76</v>
      </c>
      <c r="BV3" s="48" t="s">
        <v>76</v>
      </c>
      <c r="BW3" s="42" t="s">
        <v>78</v>
      </c>
      <c r="BX3" s="47" t="s">
        <v>79</v>
      </c>
      <c r="BY3" s="51" t="s">
        <v>80</v>
      </c>
      <c r="BZ3" s="49" t="s">
        <v>81</v>
      </c>
      <c r="CA3" s="47" t="s">
        <v>82</v>
      </c>
      <c r="CB3" s="47" t="s">
        <v>83</v>
      </c>
      <c r="CC3" s="47" t="s">
        <v>84</v>
      </c>
      <c r="CD3" s="47" t="s">
        <v>85</v>
      </c>
      <c r="CE3" s="47" t="s">
        <v>86</v>
      </c>
      <c r="CF3" s="47" t="s">
        <v>87</v>
      </c>
      <c r="CG3" s="47" t="s">
        <v>88</v>
      </c>
      <c r="CH3" s="47"/>
      <c r="CI3" s="47"/>
      <c r="CJ3" s="47" t="s">
        <v>89</v>
      </c>
      <c r="CK3" s="47" t="s">
        <v>90</v>
      </c>
      <c r="CL3" s="47" t="s">
        <v>91</v>
      </c>
      <c r="CM3" s="49" t="s">
        <v>92</v>
      </c>
      <c r="CN3" s="47" t="s">
        <v>93</v>
      </c>
      <c r="CO3" s="47" t="s">
        <v>94</v>
      </c>
      <c r="CP3" s="48" t="s">
        <v>95</v>
      </c>
      <c r="CQ3" s="49" t="s">
        <v>96</v>
      </c>
      <c r="CR3" s="47" t="s">
        <v>97</v>
      </c>
      <c r="CS3" s="47" t="s">
        <v>98</v>
      </c>
      <c r="CT3" s="47" t="s">
        <v>99</v>
      </c>
      <c r="CU3" s="47" t="s">
        <v>100</v>
      </c>
      <c r="CV3" s="47" t="s">
        <v>101</v>
      </c>
      <c r="CW3" s="52" t="s">
        <v>102</v>
      </c>
      <c r="CX3" s="52" t="s">
        <v>103</v>
      </c>
      <c r="CY3" s="47" t="s">
        <v>104</v>
      </c>
      <c r="CZ3" s="47" t="s">
        <v>105</v>
      </c>
      <c r="DA3" s="47" t="s">
        <v>106</v>
      </c>
      <c r="DB3" s="42" t="s">
        <v>107</v>
      </c>
      <c r="DC3" s="43" t="s">
        <v>108</v>
      </c>
      <c r="DD3" s="47" t="s">
        <v>109</v>
      </c>
      <c r="DE3" s="49" t="s">
        <v>1</v>
      </c>
      <c r="DF3" s="47" t="s">
        <v>1</v>
      </c>
      <c r="DG3" s="49" t="s">
        <v>110</v>
      </c>
      <c r="DH3" s="47" t="s">
        <v>110</v>
      </c>
      <c r="DI3" s="42" t="s">
        <v>111</v>
      </c>
      <c r="DJ3" s="43" t="s">
        <v>112</v>
      </c>
      <c r="DK3" s="47" t="s">
        <v>113</v>
      </c>
      <c r="DL3" s="42" t="s">
        <v>114</v>
      </c>
      <c r="DM3" s="43" t="s">
        <v>115</v>
      </c>
      <c r="DN3" s="47" t="s">
        <v>116</v>
      </c>
      <c r="DO3" s="42" t="s">
        <v>117</v>
      </c>
      <c r="DP3" s="43" t="s">
        <v>118</v>
      </c>
      <c r="DQ3" s="47" t="s">
        <v>116</v>
      </c>
      <c r="DR3" s="42" t="s">
        <v>119</v>
      </c>
      <c r="DS3" s="43" t="s">
        <v>119</v>
      </c>
      <c r="DT3" s="47" t="s">
        <v>119</v>
      </c>
      <c r="DU3" s="53" t="s">
        <v>119</v>
      </c>
      <c r="DV3" s="54" t="s">
        <v>119</v>
      </c>
      <c r="DW3" s="48" t="s">
        <v>119</v>
      </c>
      <c r="DX3" s="53" t="s">
        <v>119</v>
      </c>
      <c r="DY3" s="54" t="s">
        <v>119</v>
      </c>
      <c r="DZ3" s="53" t="s">
        <v>119</v>
      </c>
      <c r="EA3" s="54" t="s">
        <v>119</v>
      </c>
      <c r="EB3" s="48" t="s">
        <v>119</v>
      </c>
      <c r="EC3" s="42" t="s">
        <v>120</v>
      </c>
      <c r="ED3" s="52" t="s">
        <v>121</v>
      </c>
      <c r="EE3" s="42" t="s">
        <v>122</v>
      </c>
      <c r="EF3" s="43" t="s">
        <v>123</v>
      </c>
      <c r="EG3" s="47" t="s">
        <v>124</v>
      </c>
      <c r="EH3" s="42" t="s">
        <v>125</v>
      </c>
      <c r="EI3" s="42" t="s">
        <v>126</v>
      </c>
      <c r="EJ3" s="43" t="s">
        <v>127</v>
      </c>
      <c r="EK3" s="43" t="s">
        <v>128</v>
      </c>
      <c r="EL3" s="50" t="s">
        <v>129</v>
      </c>
      <c r="EM3" s="50" t="s">
        <v>130</v>
      </c>
      <c r="EN3" s="55" t="s">
        <v>131</v>
      </c>
      <c r="EO3" s="55" t="s">
        <v>132</v>
      </c>
      <c r="EP3" s="52" t="s">
        <v>129</v>
      </c>
      <c r="EQ3" s="52" t="s">
        <v>130</v>
      </c>
      <c r="ER3" s="48" t="s">
        <v>133</v>
      </c>
      <c r="ES3" s="48" t="s">
        <v>134</v>
      </c>
      <c r="ET3" s="42"/>
      <c r="EU3" s="43"/>
      <c r="EV3" s="47"/>
      <c r="EW3" s="55"/>
      <c r="EX3" s="52"/>
      <c r="EY3" s="48"/>
      <c r="EZ3" s="42" t="s">
        <v>135</v>
      </c>
      <c r="FA3" s="43" t="s">
        <v>136</v>
      </c>
      <c r="FB3" s="47" t="s">
        <v>137</v>
      </c>
      <c r="FC3" s="55" t="s">
        <v>138</v>
      </c>
      <c r="FD3" s="52" t="s">
        <v>139</v>
      </c>
      <c r="FE3" s="48" t="s">
        <v>139</v>
      </c>
      <c r="FF3" s="42" t="s">
        <v>140</v>
      </c>
      <c r="FG3" s="43" t="s">
        <v>140</v>
      </c>
      <c r="FH3" s="47" t="s">
        <v>141</v>
      </c>
      <c r="FI3" s="55" t="s">
        <v>140</v>
      </c>
      <c r="FJ3" s="52" t="s">
        <v>141</v>
      </c>
      <c r="FK3" s="55" t="s">
        <v>140</v>
      </c>
      <c r="FL3" s="52" t="s">
        <v>141</v>
      </c>
      <c r="FM3" s="48" t="s">
        <v>141</v>
      </c>
      <c r="FN3" s="42" t="s">
        <v>142</v>
      </c>
      <c r="FO3" s="42" t="s">
        <v>143</v>
      </c>
      <c r="FP3" s="43" t="s">
        <v>143</v>
      </c>
      <c r="FQ3" s="44" t="s">
        <v>144</v>
      </c>
      <c r="FR3" s="42" t="s">
        <v>145</v>
      </c>
      <c r="FS3" s="43" t="s">
        <v>145</v>
      </c>
      <c r="FT3" s="47" t="s">
        <v>146</v>
      </c>
      <c r="FU3" s="55" t="s">
        <v>147</v>
      </c>
      <c r="FV3" s="52" t="s">
        <v>147</v>
      </c>
      <c r="FW3" s="48" t="s">
        <v>147</v>
      </c>
      <c r="FX3" s="55" t="s">
        <v>147</v>
      </c>
      <c r="FY3" s="52" t="s">
        <v>147</v>
      </c>
      <c r="FZ3" s="52" t="s">
        <v>147</v>
      </c>
      <c r="GA3" s="48" t="s">
        <v>147</v>
      </c>
      <c r="GB3" s="55" t="s">
        <v>148</v>
      </c>
      <c r="GC3" s="52" t="s">
        <v>148</v>
      </c>
      <c r="GD3" s="55" t="s">
        <v>148</v>
      </c>
      <c r="GE3" s="52" t="s">
        <v>148</v>
      </c>
      <c r="GF3" s="48" t="s">
        <v>148</v>
      </c>
      <c r="GG3" s="55" t="s">
        <v>149</v>
      </c>
      <c r="GH3" s="52" t="s">
        <v>149</v>
      </c>
      <c r="GI3" s="48" t="s">
        <v>149</v>
      </c>
      <c r="GJ3" s="55" t="s">
        <v>150</v>
      </c>
      <c r="GK3" s="52" t="s">
        <v>150</v>
      </c>
      <c r="GL3" s="55" t="s">
        <v>150</v>
      </c>
      <c r="GM3" s="52" t="s">
        <v>150</v>
      </c>
      <c r="GN3" s="52" t="s">
        <v>150</v>
      </c>
      <c r="GO3" s="42" t="s">
        <v>151</v>
      </c>
      <c r="GP3" s="43" t="s">
        <v>151</v>
      </c>
      <c r="GQ3" s="47" t="s">
        <v>152</v>
      </c>
      <c r="GR3" s="42" t="s">
        <v>153</v>
      </c>
      <c r="GS3" s="43" t="s">
        <v>153</v>
      </c>
      <c r="GT3" s="47" t="s">
        <v>153</v>
      </c>
      <c r="GU3" s="48"/>
      <c r="GV3" s="55" t="s">
        <v>154</v>
      </c>
      <c r="GW3" s="52" t="s">
        <v>154</v>
      </c>
      <c r="GX3" s="55" t="s">
        <v>155</v>
      </c>
      <c r="GY3" s="52" t="s">
        <v>156</v>
      </c>
      <c r="GZ3" s="55" t="s">
        <v>155</v>
      </c>
      <c r="HA3" s="52" t="s">
        <v>156</v>
      </c>
      <c r="HB3" s="48" t="s">
        <v>156</v>
      </c>
      <c r="HC3" s="55"/>
      <c r="HD3" s="52"/>
      <c r="HE3" s="55" t="s">
        <v>10</v>
      </c>
      <c r="HF3" s="52" t="s">
        <v>11</v>
      </c>
      <c r="HG3" s="56"/>
      <c r="HR3" s="57"/>
      <c r="IC3" s="58"/>
      <c r="IN3" s="57"/>
      <c r="IY3" s="59"/>
    </row>
    <row r="4" spans="1:269" ht="150.5" x14ac:dyDescent="0.45">
      <c r="A4" s="42" t="s">
        <v>157</v>
      </c>
      <c r="B4" s="45"/>
      <c r="C4" s="42"/>
      <c r="D4" s="42"/>
      <c r="E4" s="42" t="s">
        <v>158</v>
      </c>
      <c r="F4" s="47"/>
      <c r="G4" s="42"/>
      <c r="H4" s="42"/>
      <c r="I4" s="42"/>
      <c r="J4" s="42"/>
      <c r="K4" s="42"/>
      <c r="L4" s="42"/>
      <c r="M4" s="42" t="s">
        <v>159</v>
      </c>
      <c r="N4" s="42" t="s">
        <v>160</v>
      </c>
      <c r="O4" s="42"/>
      <c r="P4" s="42" t="s">
        <v>159</v>
      </c>
      <c r="Q4" s="42" t="s">
        <v>160</v>
      </c>
      <c r="R4" s="42" t="s">
        <v>161</v>
      </c>
      <c r="S4" s="47" t="s">
        <v>162</v>
      </c>
      <c r="T4" s="42" t="s">
        <v>163</v>
      </c>
      <c r="U4" s="47" t="s">
        <v>164</v>
      </c>
      <c r="V4" s="47" t="s">
        <v>165</v>
      </c>
      <c r="W4" s="42" t="s">
        <v>166</v>
      </c>
      <c r="X4" s="42"/>
      <c r="Y4" s="42"/>
      <c r="Z4" s="42" t="s">
        <v>167</v>
      </c>
      <c r="AA4" s="47"/>
      <c r="AB4" s="47"/>
      <c r="AC4" s="47"/>
      <c r="AD4" s="48"/>
      <c r="AE4" s="47" t="s">
        <v>168</v>
      </c>
      <c r="AF4" s="47" t="s">
        <v>169</v>
      </c>
      <c r="AG4" s="49"/>
      <c r="AH4" s="49"/>
      <c r="AI4" s="49"/>
      <c r="AJ4" s="47"/>
      <c r="AK4" s="47"/>
      <c r="AL4" s="28" t="s">
        <v>170</v>
      </c>
      <c r="AM4" s="47"/>
      <c r="AN4" s="47" t="s">
        <v>171</v>
      </c>
      <c r="AO4" s="47"/>
      <c r="AP4" s="47" t="s">
        <v>172</v>
      </c>
      <c r="AQ4" s="47"/>
      <c r="AR4" s="47" t="s">
        <v>173</v>
      </c>
      <c r="AS4" s="47" t="s">
        <v>174</v>
      </c>
      <c r="AT4" s="47" t="s">
        <v>175</v>
      </c>
      <c r="AU4" s="47"/>
      <c r="AV4" s="47" t="s">
        <v>176</v>
      </c>
      <c r="AW4" s="47" t="s">
        <v>177</v>
      </c>
      <c r="AX4" s="50" t="s">
        <v>178</v>
      </c>
      <c r="AY4" s="50" t="s">
        <v>178</v>
      </c>
      <c r="AZ4" s="47" t="s">
        <v>179</v>
      </c>
      <c r="BA4" s="47" t="s">
        <v>180</v>
      </c>
      <c r="BB4" s="47" t="s">
        <v>181</v>
      </c>
      <c r="BC4" s="47" t="s">
        <v>182</v>
      </c>
      <c r="BD4" s="48"/>
      <c r="BE4" s="47" t="s">
        <v>183</v>
      </c>
      <c r="BF4" s="42"/>
      <c r="BG4" s="47" t="s">
        <v>184</v>
      </c>
      <c r="BH4" s="47" t="s">
        <v>168</v>
      </c>
      <c r="BI4" s="60"/>
      <c r="BJ4" s="42" t="s">
        <v>185</v>
      </c>
      <c r="BK4" s="47" t="s">
        <v>186</v>
      </c>
      <c r="BL4" s="61" t="s">
        <v>187</v>
      </c>
      <c r="BM4" s="61" t="s">
        <v>188</v>
      </c>
      <c r="BN4" s="47" t="s">
        <v>189</v>
      </c>
      <c r="BO4" s="61" t="s">
        <v>190</v>
      </c>
      <c r="BP4" s="61" t="s">
        <v>190</v>
      </c>
      <c r="BQ4" s="62" t="s">
        <v>190</v>
      </c>
      <c r="BR4" s="61" t="s">
        <v>191</v>
      </c>
      <c r="BS4" s="47" t="s">
        <v>192</v>
      </c>
      <c r="BT4" s="61" t="s">
        <v>191</v>
      </c>
      <c r="BU4" s="62" t="s">
        <v>193</v>
      </c>
      <c r="BV4" s="63" t="s">
        <v>194</v>
      </c>
      <c r="BW4" s="61" t="s">
        <v>195</v>
      </c>
      <c r="BX4" s="47" t="s">
        <v>196</v>
      </c>
      <c r="BY4" s="64" t="s">
        <v>197</v>
      </c>
      <c r="BZ4" s="65" t="s">
        <v>197</v>
      </c>
      <c r="CH4" s="9" t="s">
        <v>198</v>
      </c>
      <c r="CI4" s="9" t="s">
        <v>199</v>
      </c>
      <c r="CP4" s="48"/>
      <c r="CQ4" s="49"/>
      <c r="CR4" s="47"/>
      <c r="CS4" s="47"/>
      <c r="CT4" s="47" t="s">
        <v>200</v>
      </c>
      <c r="CU4" s="47"/>
      <c r="CV4" s="47"/>
      <c r="CW4" s="52"/>
      <c r="CX4" s="52"/>
      <c r="CY4" s="47" t="s">
        <v>201</v>
      </c>
      <c r="CZ4" s="47" t="s">
        <v>202</v>
      </c>
      <c r="DA4" s="47" t="s">
        <v>203</v>
      </c>
      <c r="DB4" s="42" t="s">
        <v>204</v>
      </c>
      <c r="DC4" s="43" t="s">
        <v>204</v>
      </c>
      <c r="DD4" s="47" t="s">
        <v>205</v>
      </c>
      <c r="DE4" s="49" t="s">
        <v>206</v>
      </c>
      <c r="DF4" s="47" t="s">
        <v>207</v>
      </c>
      <c r="DG4" s="49" t="s">
        <v>208</v>
      </c>
      <c r="DH4" s="47" t="s">
        <v>209</v>
      </c>
      <c r="DI4" s="42" t="s">
        <v>210</v>
      </c>
      <c r="DJ4" s="43" t="s">
        <v>211</v>
      </c>
      <c r="DK4" s="47" t="s">
        <v>212</v>
      </c>
      <c r="DL4" s="42" t="s">
        <v>213</v>
      </c>
      <c r="DM4" s="43" t="s">
        <v>214</v>
      </c>
      <c r="DN4" s="47" t="s">
        <v>215</v>
      </c>
      <c r="DO4" s="58" t="s">
        <v>216</v>
      </c>
      <c r="DP4" s="66" t="s">
        <v>217</v>
      </c>
      <c r="DQ4" s="57" t="s">
        <v>218</v>
      </c>
      <c r="DR4" s="61" t="s">
        <v>219</v>
      </c>
      <c r="DS4" s="67" t="s">
        <v>220</v>
      </c>
      <c r="DT4" s="62" t="s">
        <v>221</v>
      </c>
      <c r="DU4" s="53" t="s">
        <v>222</v>
      </c>
      <c r="DV4" s="54" t="s">
        <v>223</v>
      </c>
      <c r="DW4" s="48" t="s">
        <v>223</v>
      </c>
      <c r="DX4" s="68" t="s">
        <v>224</v>
      </c>
      <c r="DY4" s="69" t="s">
        <v>221</v>
      </c>
      <c r="DZ4" s="68" t="s">
        <v>224</v>
      </c>
      <c r="EA4" s="69" t="s">
        <v>225</v>
      </c>
      <c r="EB4" s="63" t="s">
        <v>225</v>
      </c>
      <c r="EC4" s="61" t="s">
        <v>226</v>
      </c>
      <c r="ED4" s="52" t="s">
        <v>227</v>
      </c>
      <c r="EE4" s="42" t="s">
        <v>228</v>
      </c>
      <c r="EF4" s="43" t="s">
        <v>229</v>
      </c>
      <c r="EG4" s="47" t="s">
        <v>230</v>
      </c>
      <c r="EH4" s="42" t="s">
        <v>231</v>
      </c>
      <c r="EI4" s="42" t="s">
        <v>232</v>
      </c>
      <c r="EJ4" s="43" t="s">
        <v>233</v>
      </c>
      <c r="EK4" s="43" t="s">
        <v>234</v>
      </c>
      <c r="EL4" s="50" t="s">
        <v>235</v>
      </c>
      <c r="EM4" s="50" t="s">
        <v>236</v>
      </c>
      <c r="EN4" s="55" t="s">
        <v>237</v>
      </c>
      <c r="EO4" s="55" t="s">
        <v>238</v>
      </c>
      <c r="EP4" s="52" t="s">
        <v>239</v>
      </c>
      <c r="EQ4" s="52" t="s">
        <v>236</v>
      </c>
      <c r="ER4" s="48" t="s">
        <v>239</v>
      </c>
      <c r="ES4" s="48" t="s">
        <v>236</v>
      </c>
      <c r="ET4" s="42" t="s">
        <v>240</v>
      </c>
      <c r="EU4" s="43" t="s">
        <v>241</v>
      </c>
      <c r="EV4" s="47" t="s">
        <v>242</v>
      </c>
      <c r="EW4" s="55" t="s">
        <v>243</v>
      </c>
      <c r="EX4" s="52" t="s">
        <v>244</v>
      </c>
      <c r="EY4" s="48" t="s">
        <v>245</v>
      </c>
      <c r="EZ4" s="42" t="s">
        <v>246</v>
      </c>
      <c r="FA4" s="43" t="s">
        <v>247</v>
      </c>
      <c r="FB4" s="47" t="s">
        <v>248</v>
      </c>
      <c r="FC4" s="55" t="s">
        <v>249</v>
      </c>
      <c r="FD4" s="52" t="s">
        <v>250</v>
      </c>
      <c r="FE4" s="48" t="s">
        <v>251</v>
      </c>
      <c r="FF4" s="61" t="s">
        <v>252</v>
      </c>
      <c r="FG4" s="67" t="s">
        <v>252</v>
      </c>
      <c r="FH4" s="47" t="s">
        <v>253</v>
      </c>
      <c r="FI4" s="70" t="s">
        <v>254</v>
      </c>
      <c r="FJ4" s="52" t="s">
        <v>255</v>
      </c>
      <c r="FK4" s="55" t="s">
        <v>256</v>
      </c>
      <c r="FL4" s="52" t="s">
        <v>257</v>
      </c>
      <c r="FM4" s="48" t="s">
        <v>257</v>
      </c>
      <c r="FN4" s="42" t="s">
        <v>258</v>
      </c>
      <c r="FO4" s="42" t="s">
        <v>259</v>
      </c>
      <c r="FP4" s="43"/>
      <c r="FQ4" s="44" t="s">
        <v>260</v>
      </c>
      <c r="FR4" s="42" t="s">
        <v>261</v>
      </c>
      <c r="FS4" s="43" t="s">
        <v>262</v>
      </c>
      <c r="FT4" s="47" t="s">
        <v>263</v>
      </c>
      <c r="FU4" s="55" t="s">
        <v>264</v>
      </c>
      <c r="FV4" s="52" t="s">
        <v>265</v>
      </c>
      <c r="FW4" s="48" t="s">
        <v>265</v>
      </c>
      <c r="FX4" s="55" t="s">
        <v>266</v>
      </c>
      <c r="FY4" s="52" t="s">
        <v>267</v>
      </c>
      <c r="FZ4" s="52" t="s">
        <v>268</v>
      </c>
      <c r="GA4" s="48" t="s">
        <v>268</v>
      </c>
      <c r="GB4" s="55" t="s">
        <v>269</v>
      </c>
      <c r="GC4" s="52" t="s">
        <v>269</v>
      </c>
      <c r="GD4" s="55" t="s">
        <v>270</v>
      </c>
      <c r="GE4" s="52" t="s">
        <v>271</v>
      </c>
      <c r="GF4" s="48" t="s">
        <v>272</v>
      </c>
      <c r="GG4" s="55" t="s">
        <v>273</v>
      </c>
      <c r="GH4" s="52" t="s">
        <v>274</v>
      </c>
      <c r="GI4" s="48" t="s">
        <v>275</v>
      </c>
      <c r="GJ4" s="55" t="s">
        <v>276</v>
      </c>
      <c r="GK4" s="52" t="s">
        <v>276</v>
      </c>
      <c r="GL4" s="55" t="s">
        <v>276</v>
      </c>
      <c r="GM4" s="52" t="s">
        <v>276</v>
      </c>
      <c r="GN4" s="52" t="s">
        <v>276</v>
      </c>
      <c r="GO4" s="42" t="s">
        <v>277</v>
      </c>
      <c r="GP4" s="43" t="s">
        <v>278</v>
      </c>
      <c r="GQ4" s="47" t="s">
        <v>279</v>
      </c>
      <c r="GR4" s="42" t="s">
        <v>280</v>
      </c>
      <c r="GS4" s="43" t="s">
        <v>281</v>
      </c>
      <c r="GT4" s="47" t="s">
        <v>282</v>
      </c>
      <c r="GU4" s="48" t="s">
        <v>283</v>
      </c>
      <c r="GV4" s="55" t="s">
        <v>284</v>
      </c>
      <c r="GW4" s="52" t="s">
        <v>284</v>
      </c>
      <c r="GX4" s="55" t="s">
        <v>285</v>
      </c>
      <c r="GY4" s="52" t="s">
        <v>286</v>
      </c>
      <c r="GZ4" s="55" t="s">
        <v>285</v>
      </c>
      <c r="HA4" s="52" t="s">
        <v>285</v>
      </c>
      <c r="HB4" s="48" t="s">
        <v>285</v>
      </c>
      <c r="HC4" s="55" t="s">
        <v>287</v>
      </c>
      <c r="HD4" s="52" t="s">
        <v>287</v>
      </c>
      <c r="HE4" s="55" t="s">
        <v>288</v>
      </c>
      <c r="HF4" s="52" t="s">
        <v>144</v>
      </c>
      <c r="HG4" s="56"/>
      <c r="HR4" s="57"/>
      <c r="IC4" s="58"/>
      <c r="IN4" s="57"/>
      <c r="IY4" s="59"/>
    </row>
    <row r="5" spans="1:269" ht="18.5" x14ac:dyDescent="0.45">
      <c r="A5" s="71" t="s">
        <v>289</v>
      </c>
      <c r="B5" s="71" t="s">
        <v>290</v>
      </c>
      <c r="C5" s="71" t="s">
        <v>291</v>
      </c>
      <c r="D5" s="71" t="s">
        <v>292</v>
      </c>
      <c r="E5" s="71" t="s">
        <v>293</v>
      </c>
      <c r="F5" s="72" t="s">
        <v>294</v>
      </c>
      <c r="G5" s="71" t="s">
        <v>295</v>
      </c>
      <c r="H5" s="71" t="s">
        <v>296</v>
      </c>
      <c r="I5" s="71" t="s">
        <v>297</v>
      </c>
      <c r="J5" s="71" t="s">
        <v>298</v>
      </c>
      <c r="K5" s="71" t="s">
        <v>299</v>
      </c>
      <c r="L5" s="71" t="s">
        <v>300</v>
      </c>
      <c r="M5" s="71" t="s">
        <v>301</v>
      </c>
      <c r="N5" s="71" t="s">
        <v>302</v>
      </c>
      <c r="O5" s="71" t="s">
        <v>303</v>
      </c>
      <c r="P5" s="71" t="s">
        <v>304</v>
      </c>
      <c r="Q5" s="71" t="s">
        <v>305</v>
      </c>
      <c r="R5" s="71" t="s">
        <v>306</v>
      </c>
      <c r="S5" s="72" t="s">
        <v>307</v>
      </c>
      <c r="T5" s="71" t="s">
        <v>308</v>
      </c>
      <c r="U5" s="72" t="s">
        <v>309</v>
      </c>
      <c r="V5" s="72" t="s">
        <v>310</v>
      </c>
      <c r="W5" s="73" t="s">
        <v>311</v>
      </c>
      <c r="X5" s="71" t="s">
        <v>312</v>
      </c>
      <c r="Y5" s="71" t="s">
        <v>313</v>
      </c>
      <c r="Z5" s="71" t="s">
        <v>314</v>
      </c>
      <c r="AA5" s="28" t="s">
        <v>315</v>
      </c>
      <c r="AB5" s="28" t="s">
        <v>316</v>
      </c>
      <c r="AC5" s="28" t="s">
        <v>317</v>
      </c>
      <c r="AD5" s="31" t="s">
        <v>318</v>
      </c>
      <c r="AE5" s="28" t="s">
        <v>319</v>
      </c>
      <c r="AF5" s="28" t="s">
        <v>44</v>
      </c>
      <c r="AG5" s="74" t="s">
        <v>320</v>
      </c>
      <c r="AH5" s="74" t="s">
        <v>321</v>
      </c>
      <c r="AI5" s="74"/>
      <c r="AJ5" s="28" t="s">
        <v>322</v>
      </c>
      <c r="AK5" s="72" t="s">
        <v>323</v>
      </c>
      <c r="AL5" s="72"/>
      <c r="AM5" s="28" t="s">
        <v>324</v>
      </c>
      <c r="AN5" s="72" t="s">
        <v>325</v>
      </c>
      <c r="AO5" s="72" t="s">
        <v>326</v>
      </c>
      <c r="AP5" s="72" t="s">
        <v>327</v>
      </c>
      <c r="AQ5" s="28" t="s">
        <v>328</v>
      </c>
      <c r="AR5" s="72" t="s">
        <v>329</v>
      </c>
      <c r="AS5" s="72"/>
      <c r="AT5" s="28" t="s">
        <v>330</v>
      </c>
      <c r="AU5" s="28" t="s">
        <v>331</v>
      </c>
      <c r="AV5" s="72" t="s">
        <v>332</v>
      </c>
      <c r="AW5" s="72"/>
      <c r="AX5" s="75" t="s">
        <v>333</v>
      </c>
      <c r="AY5" s="75" t="s">
        <v>333</v>
      </c>
      <c r="AZ5" s="28" t="s">
        <v>334</v>
      </c>
      <c r="BA5" s="28" t="s">
        <v>335</v>
      </c>
      <c r="BB5" s="28" t="s">
        <v>336</v>
      </c>
      <c r="BC5" s="28" t="s">
        <v>337</v>
      </c>
      <c r="BD5" s="31" t="s">
        <v>338</v>
      </c>
      <c r="BE5" s="28"/>
      <c r="BF5" s="71" t="s">
        <v>294</v>
      </c>
      <c r="BG5" s="72"/>
      <c r="BH5" s="28" t="s">
        <v>319</v>
      </c>
      <c r="BI5" s="31" t="s">
        <v>339</v>
      </c>
      <c r="BJ5" s="73" t="s">
        <v>340</v>
      </c>
      <c r="BK5" s="28" t="s">
        <v>341</v>
      </c>
      <c r="BL5" s="73"/>
      <c r="BM5" s="73"/>
      <c r="BN5" s="28"/>
      <c r="BO5" s="73"/>
      <c r="BP5" s="73"/>
      <c r="BQ5" s="28"/>
      <c r="BR5" s="73"/>
      <c r="BS5" s="28"/>
      <c r="BT5" s="73"/>
      <c r="BU5" s="28"/>
      <c r="BV5" s="31"/>
      <c r="BW5" s="73"/>
      <c r="BX5" s="28"/>
      <c r="BY5" s="76" t="s">
        <v>311</v>
      </c>
      <c r="BZ5" s="74" t="s">
        <v>311</v>
      </c>
      <c r="CA5" s="28" t="s">
        <v>342</v>
      </c>
      <c r="CB5" s="28" t="s">
        <v>343</v>
      </c>
      <c r="CC5" s="28" t="s">
        <v>344</v>
      </c>
      <c r="CD5" s="28" t="s">
        <v>345</v>
      </c>
      <c r="CE5" s="28" t="s">
        <v>346</v>
      </c>
      <c r="CF5" s="28" t="s">
        <v>347</v>
      </c>
      <c r="CG5" s="28"/>
      <c r="CH5" s="28"/>
      <c r="CI5" s="28"/>
      <c r="CJ5" s="28"/>
      <c r="CK5" s="28"/>
      <c r="CL5" s="28"/>
      <c r="CM5" s="74"/>
      <c r="CN5" s="28" t="s">
        <v>348</v>
      </c>
      <c r="CO5" s="28"/>
      <c r="CP5" s="31" t="s">
        <v>349</v>
      </c>
      <c r="CQ5" s="74"/>
      <c r="CR5" s="28" t="s">
        <v>350</v>
      </c>
      <c r="CS5" s="28" t="s">
        <v>351</v>
      </c>
      <c r="CT5" s="28" t="s">
        <v>352</v>
      </c>
      <c r="CU5" s="28" t="s">
        <v>353</v>
      </c>
      <c r="CV5" s="28" t="s">
        <v>354</v>
      </c>
      <c r="CW5" s="30" t="s">
        <v>355</v>
      </c>
      <c r="CX5" s="30" t="s">
        <v>356</v>
      </c>
      <c r="CY5" s="28" t="s">
        <v>357</v>
      </c>
      <c r="CZ5" s="28"/>
      <c r="DA5" s="28"/>
      <c r="DB5" s="73" t="s">
        <v>358</v>
      </c>
      <c r="DC5" s="77" t="s">
        <v>359</v>
      </c>
      <c r="DD5" s="28" t="s">
        <v>360</v>
      </c>
      <c r="DE5" s="74" t="s">
        <v>361</v>
      </c>
      <c r="DF5" s="28"/>
      <c r="DG5" s="74" t="s">
        <v>362</v>
      </c>
      <c r="DH5" s="28"/>
      <c r="DI5" s="73" t="s">
        <v>363</v>
      </c>
      <c r="DJ5" s="77" t="s">
        <v>364</v>
      </c>
      <c r="DK5" s="28" t="s">
        <v>365</v>
      </c>
      <c r="DL5" s="78" t="s">
        <v>366</v>
      </c>
      <c r="DM5" s="79"/>
      <c r="DN5" s="80" t="s">
        <v>366</v>
      </c>
      <c r="DO5" s="78" t="s">
        <v>367</v>
      </c>
      <c r="DP5" s="79"/>
      <c r="DQ5" s="80" t="s">
        <v>367</v>
      </c>
      <c r="DR5" s="73" t="s">
        <v>368</v>
      </c>
      <c r="DS5" s="77" t="s">
        <v>368</v>
      </c>
      <c r="DT5" s="28" t="s">
        <v>368</v>
      </c>
      <c r="DU5" s="81" t="s">
        <v>369</v>
      </c>
      <c r="DV5" s="82" t="s">
        <v>369</v>
      </c>
      <c r="DW5" s="31" t="s">
        <v>369</v>
      </c>
      <c r="DX5" s="81"/>
      <c r="DY5" s="82"/>
      <c r="DZ5" s="81"/>
      <c r="EA5" s="82"/>
      <c r="EB5" s="31"/>
      <c r="EC5" s="73"/>
      <c r="ED5" s="30"/>
      <c r="EE5" s="73" t="s">
        <v>370</v>
      </c>
      <c r="EF5" s="77" t="s">
        <v>371</v>
      </c>
      <c r="EG5" s="28" t="s">
        <v>372</v>
      </c>
      <c r="EH5" s="73" t="s">
        <v>373</v>
      </c>
      <c r="EI5" s="73" t="s">
        <v>374</v>
      </c>
      <c r="EJ5" s="77" t="s">
        <v>373</v>
      </c>
      <c r="EK5" s="77" t="s">
        <v>374</v>
      </c>
      <c r="EL5" s="83" t="s">
        <v>375</v>
      </c>
      <c r="EM5" s="83" t="s">
        <v>376</v>
      </c>
      <c r="EN5" s="29" t="s">
        <v>373</v>
      </c>
      <c r="EO5" s="29" t="s">
        <v>374</v>
      </c>
      <c r="EP5" s="30" t="s">
        <v>375</v>
      </c>
      <c r="EQ5" s="30" t="s">
        <v>376</v>
      </c>
      <c r="ER5" s="31" t="s">
        <v>375</v>
      </c>
      <c r="ES5" s="31" t="s">
        <v>376</v>
      </c>
      <c r="ET5" s="73"/>
      <c r="EU5" s="77"/>
      <c r="EV5" s="28"/>
      <c r="EW5" s="29" t="s">
        <v>2</v>
      </c>
      <c r="EX5" s="30" t="s">
        <v>3</v>
      </c>
      <c r="EY5" s="31" t="s">
        <v>4</v>
      </c>
      <c r="EZ5" s="73"/>
      <c r="FA5" s="77"/>
      <c r="FB5" s="28"/>
      <c r="FC5" s="29" t="s">
        <v>377</v>
      </c>
      <c r="FD5" s="30" t="s">
        <v>378</v>
      </c>
      <c r="FE5" s="31" t="s">
        <v>378</v>
      </c>
      <c r="FF5" s="73" t="s">
        <v>379</v>
      </c>
      <c r="FG5" s="77" t="s">
        <v>379</v>
      </c>
      <c r="FH5" s="28" t="s">
        <v>380</v>
      </c>
      <c r="FI5" s="84" t="s">
        <v>379</v>
      </c>
      <c r="FJ5" s="85" t="s">
        <v>380</v>
      </c>
      <c r="FK5" s="29" t="s">
        <v>379</v>
      </c>
      <c r="FL5" s="30" t="s">
        <v>380</v>
      </c>
      <c r="FM5" s="31" t="s">
        <v>380</v>
      </c>
      <c r="FN5" s="73" t="s">
        <v>381</v>
      </c>
      <c r="FO5" s="86" t="s">
        <v>382</v>
      </c>
      <c r="FP5" s="87"/>
      <c r="FQ5" s="88" t="s">
        <v>382</v>
      </c>
      <c r="FR5" s="73"/>
      <c r="FS5" s="77"/>
      <c r="FT5" s="28"/>
      <c r="FU5" s="84" t="s">
        <v>383</v>
      </c>
      <c r="FV5" s="85" t="s">
        <v>383</v>
      </c>
      <c r="FW5" s="89" t="s">
        <v>383</v>
      </c>
      <c r="FX5" s="84" t="s">
        <v>383</v>
      </c>
      <c r="FY5" s="85" t="s">
        <v>383</v>
      </c>
      <c r="FZ5" s="85" t="s">
        <v>383</v>
      </c>
      <c r="GA5" s="89" t="s">
        <v>383</v>
      </c>
      <c r="GB5" s="29" t="s">
        <v>384</v>
      </c>
      <c r="GC5" s="30" t="s">
        <v>385</v>
      </c>
      <c r="GD5" s="29" t="s">
        <v>386</v>
      </c>
      <c r="GE5" s="30" t="s">
        <v>387</v>
      </c>
      <c r="GF5" s="31" t="s">
        <v>385</v>
      </c>
      <c r="GG5" s="29" t="s">
        <v>388</v>
      </c>
      <c r="GH5" s="30" t="s">
        <v>388</v>
      </c>
      <c r="GI5" s="31" t="s">
        <v>388</v>
      </c>
      <c r="GJ5" s="29"/>
      <c r="GK5" s="30"/>
      <c r="GL5" s="29"/>
      <c r="GM5" s="30"/>
      <c r="GN5" s="30"/>
      <c r="GO5" s="73" t="s">
        <v>389</v>
      </c>
      <c r="GP5" s="77" t="s">
        <v>389</v>
      </c>
      <c r="GQ5" s="28" t="s">
        <v>390</v>
      </c>
      <c r="GR5" s="73" t="s">
        <v>391</v>
      </c>
      <c r="GS5" s="77" t="s">
        <v>392</v>
      </c>
      <c r="GT5" s="28" t="s">
        <v>393</v>
      </c>
      <c r="GU5" s="31" t="s">
        <v>394</v>
      </c>
      <c r="GV5" s="29" t="s">
        <v>389</v>
      </c>
      <c r="GW5" s="30" t="s">
        <v>389</v>
      </c>
      <c r="GX5" s="29" t="s">
        <v>389</v>
      </c>
      <c r="GY5" s="30" t="s">
        <v>389</v>
      </c>
      <c r="GZ5" s="29" t="s">
        <v>389</v>
      </c>
      <c r="HA5" s="30" t="s">
        <v>389</v>
      </c>
      <c r="HB5" s="31" t="s">
        <v>389</v>
      </c>
      <c r="HC5" s="29" t="s">
        <v>389</v>
      </c>
      <c r="HD5" s="30" t="s">
        <v>389</v>
      </c>
      <c r="HE5" s="55" t="s">
        <v>395</v>
      </c>
      <c r="HF5" s="52" t="s">
        <v>396</v>
      </c>
      <c r="HG5" s="90"/>
      <c r="HH5" s="91" t="s">
        <v>397</v>
      </c>
      <c r="HI5" s="91" t="s">
        <v>398</v>
      </c>
      <c r="HJ5" s="91" t="s">
        <v>399</v>
      </c>
      <c r="HK5" s="91"/>
      <c r="HL5" s="91" t="s">
        <v>400</v>
      </c>
      <c r="HM5" s="91" t="s">
        <v>401</v>
      </c>
      <c r="HN5" s="91" t="s">
        <v>402</v>
      </c>
      <c r="HO5" s="91" t="s">
        <v>403</v>
      </c>
      <c r="HP5" s="91" t="s">
        <v>404</v>
      </c>
      <c r="HQ5" s="91" t="s">
        <v>405</v>
      </c>
      <c r="HR5" s="92"/>
      <c r="HS5" s="93" t="s">
        <v>397</v>
      </c>
      <c r="HT5" s="93" t="s">
        <v>398</v>
      </c>
      <c r="HU5" s="93" t="s">
        <v>399</v>
      </c>
      <c r="HV5" s="93"/>
      <c r="HW5" s="93" t="s">
        <v>400</v>
      </c>
      <c r="HX5" s="93" t="s">
        <v>401</v>
      </c>
      <c r="HY5" s="93" t="s">
        <v>406</v>
      </c>
      <c r="HZ5" s="93" t="s">
        <v>407</v>
      </c>
      <c r="IA5" s="93" t="s">
        <v>404</v>
      </c>
      <c r="IB5" s="93" t="s">
        <v>405</v>
      </c>
      <c r="IC5" s="94"/>
      <c r="ID5" s="91" t="s">
        <v>397</v>
      </c>
      <c r="IE5" s="91" t="s">
        <v>398</v>
      </c>
      <c r="IF5" s="91" t="s">
        <v>399</v>
      </c>
      <c r="IG5" s="91"/>
      <c r="IH5" s="91" t="s">
        <v>400</v>
      </c>
      <c r="II5" s="91" t="s">
        <v>401</v>
      </c>
      <c r="IJ5" s="91" t="s">
        <v>402</v>
      </c>
      <c r="IK5" s="91" t="s">
        <v>403</v>
      </c>
      <c r="IL5" s="91" t="s">
        <v>408</v>
      </c>
      <c r="IM5" s="91" t="s">
        <v>405</v>
      </c>
      <c r="IN5" s="92"/>
      <c r="IO5" s="93" t="s">
        <v>397</v>
      </c>
      <c r="IP5" s="93" t="s">
        <v>398</v>
      </c>
      <c r="IQ5" s="93" t="s">
        <v>399</v>
      </c>
      <c r="IR5" s="93"/>
      <c r="IS5" s="93" t="s">
        <v>400</v>
      </c>
      <c r="IT5" s="93" t="s">
        <v>401</v>
      </c>
      <c r="IU5" s="93" t="s">
        <v>406</v>
      </c>
      <c r="IV5" s="93" t="s">
        <v>407</v>
      </c>
      <c r="IW5" s="93" t="s">
        <v>408</v>
      </c>
      <c r="IX5" s="93" t="s">
        <v>405</v>
      </c>
      <c r="IY5" s="95"/>
      <c r="IZ5" s="96" t="s">
        <v>397</v>
      </c>
      <c r="JA5" s="96" t="s">
        <v>398</v>
      </c>
      <c r="JB5" s="96" t="s">
        <v>399</v>
      </c>
      <c r="JC5" s="96"/>
      <c r="JD5" s="96" t="s">
        <v>400</v>
      </c>
      <c r="JE5" s="96" t="s">
        <v>401</v>
      </c>
      <c r="JF5" s="96" t="s">
        <v>406</v>
      </c>
      <c r="JG5" s="96" t="s">
        <v>407</v>
      </c>
      <c r="JH5" s="96" t="s">
        <v>408</v>
      </c>
      <c r="JI5" s="96" t="s">
        <v>405</v>
      </c>
    </row>
    <row r="6" spans="1:269" ht="18.5" x14ac:dyDescent="0.45">
      <c r="A6" s="71" t="s">
        <v>289</v>
      </c>
      <c r="B6" s="71" t="s">
        <v>290</v>
      </c>
      <c r="C6" s="71" t="s">
        <v>409</v>
      </c>
      <c r="D6" s="71" t="s">
        <v>292</v>
      </c>
      <c r="E6" s="71" t="s">
        <v>293</v>
      </c>
      <c r="F6" s="72" t="s">
        <v>294</v>
      </c>
      <c r="G6" s="71" t="s">
        <v>295</v>
      </c>
      <c r="H6" s="71" t="s">
        <v>296</v>
      </c>
      <c r="I6" s="71" t="s">
        <v>297</v>
      </c>
      <c r="J6" s="71" t="s">
        <v>298</v>
      </c>
      <c r="K6" s="71" t="s">
        <v>299</v>
      </c>
      <c r="L6" s="71" t="s">
        <v>300</v>
      </c>
      <c r="M6" s="71" t="s">
        <v>301</v>
      </c>
      <c r="N6" s="71" t="s">
        <v>302</v>
      </c>
      <c r="O6" s="71" t="s">
        <v>303</v>
      </c>
      <c r="P6" s="71" t="s">
        <v>304</v>
      </c>
      <c r="Q6" s="71" t="s">
        <v>305</v>
      </c>
      <c r="R6" s="71" t="s">
        <v>306</v>
      </c>
      <c r="S6" s="72" t="s">
        <v>307</v>
      </c>
      <c r="T6" s="71" t="s">
        <v>308</v>
      </c>
      <c r="U6" s="72" t="s">
        <v>309</v>
      </c>
      <c r="V6" s="72" t="s">
        <v>310</v>
      </c>
      <c r="W6" s="73" t="s">
        <v>311</v>
      </c>
      <c r="X6" s="71" t="s">
        <v>312</v>
      </c>
      <c r="Y6" s="71" t="s">
        <v>313</v>
      </c>
      <c r="Z6" s="71" t="s">
        <v>314</v>
      </c>
      <c r="AA6" s="28" t="s">
        <v>315</v>
      </c>
      <c r="AB6" s="28" t="s">
        <v>316</v>
      </c>
      <c r="AC6" s="28" t="s">
        <v>317</v>
      </c>
      <c r="AD6" s="31" t="s">
        <v>318</v>
      </c>
      <c r="AE6" s="28" t="s">
        <v>319</v>
      </c>
      <c r="AF6" s="28" t="s">
        <v>44</v>
      </c>
      <c r="AG6" s="74" t="s">
        <v>320</v>
      </c>
      <c r="AH6" s="74" t="s">
        <v>321</v>
      </c>
      <c r="AI6" s="74"/>
      <c r="AJ6" s="28" t="s">
        <v>410</v>
      </c>
      <c r="AK6" s="28" t="s">
        <v>411</v>
      </c>
      <c r="AL6" s="80" t="s">
        <v>412</v>
      </c>
      <c r="AM6" s="28" t="s">
        <v>324</v>
      </c>
      <c r="AN6" s="28" t="s">
        <v>413</v>
      </c>
      <c r="AO6" s="72" t="s">
        <v>326</v>
      </c>
      <c r="AP6" s="28" t="s">
        <v>414</v>
      </c>
      <c r="AQ6" s="28" t="s">
        <v>328</v>
      </c>
      <c r="AR6" s="28" t="s">
        <v>415</v>
      </c>
      <c r="AS6" s="28" t="s">
        <v>416</v>
      </c>
      <c r="AT6" s="28" t="s">
        <v>330</v>
      </c>
      <c r="AU6" s="28" t="s">
        <v>331</v>
      </c>
      <c r="AV6" s="28" t="s">
        <v>417</v>
      </c>
      <c r="AW6" s="28" t="s">
        <v>418</v>
      </c>
      <c r="AX6" s="83" t="s">
        <v>419</v>
      </c>
      <c r="AY6" s="83" t="s">
        <v>420</v>
      </c>
      <c r="AZ6" s="28" t="s">
        <v>421</v>
      </c>
      <c r="BA6" s="28" t="s">
        <v>422</v>
      </c>
      <c r="BB6" s="28" t="s">
        <v>423</v>
      </c>
      <c r="BC6" s="28" t="s">
        <v>424</v>
      </c>
      <c r="BD6" s="28" t="s">
        <v>425</v>
      </c>
      <c r="BE6" s="80" t="s">
        <v>426</v>
      </c>
      <c r="BF6" s="71" t="s">
        <v>294</v>
      </c>
      <c r="BG6" s="80" t="s">
        <v>319</v>
      </c>
      <c r="BH6" s="80" t="s">
        <v>319</v>
      </c>
      <c r="BI6" s="31" t="s">
        <v>339</v>
      </c>
      <c r="BJ6" s="73" t="s">
        <v>427</v>
      </c>
      <c r="BK6" s="28" t="s">
        <v>428</v>
      </c>
      <c r="BL6" s="78" t="s">
        <v>429</v>
      </c>
      <c r="BM6" s="78" t="s">
        <v>429</v>
      </c>
      <c r="BN6" s="80" t="s">
        <v>429</v>
      </c>
      <c r="BO6" s="78" t="s">
        <v>430</v>
      </c>
      <c r="BP6" s="78" t="s">
        <v>430</v>
      </c>
      <c r="BQ6" s="80" t="s">
        <v>430</v>
      </c>
      <c r="BR6" s="78" t="s">
        <v>431</v>
      </c>
      <c r="BS6" s="80" t="s">
        <v>431</v>
      </c>
      <c r="BT6" s="78" t="s">
        <v>431</v>
      </c>
      <c r="BU6" s="80" t="s">
        <v>431</v>
      </c>
      <c r="BV6" s="97" t="s">
        <v>431</v>
      </c>
      <c r="BW6" s="78" t="s">
        <v>432</v>
      </c>
      <c r="BX6" s="80" t="s">
        <v>432</v>
      </c>
      <c r="BY6" s="98" t="s">
        <v>433</v>
      </c>
      <c r="BZ6" s="99" t="s">
        <v>433</v>
      </c>
      <c r="CA6" s="28" t="s">
        <v>342</v>
      </c>
      <c r="CB6" s="28" t="s">
        <v>343</v>
      </c>
      <c r="CC6" s="28" t="s">
        <v>344</v>
      </c>
      <c r="CD6" s="28" t="s">
        <v>345</v>
      </c>
      <c r="CE6" s="28" t="s">
        <v>346</v>
      </c>
      <c r="CF6" s="28" t="s">
        <v>347</v>
      </c>
      <c r="CG6" s="28"/>
      <c r="CH6" s="28" t="s">
        <v>412</v>
      </c>
      <c r="CI6" s="28"/>
      <c r="CJ6" s="28"/>
      <c r="CK6" s="28"/>
      <c r="CL6" s="28"/>
      <c r="CM6" s="74" t="s">
        <v>434</v>
      </c>
      <c r="CN6" s="28" t="s">
        <v>348</v>
      </c>
      <c r="CO6" s="28"/>
      <c r="CP6" s="31" t="s">
        <v>349</v>
      </c>
      <c r="CQ6" s="74" t="s">
        <v>435</v>
      </c>
      <c r="CR6" s="28" t="s">
        <v>350</v>
      </c>
      <c r="CS6" s="28" t="s">
        <v>351</v>
      </c>
      <c r="CT6" s="28" t="s">
        <v>352</v>
      </c>
      <c r="CU6" s="28" t="s">
        <v>353</v>
      </c>
      <c r="CV6" s="28" t="s">
        <v>354</v>
      </c>
      <c r="CW6" s="30" t="s">
        <v>355</v>
      </c>
      <c r="CX6" s="30" t="s">
        <v>356</v>
      </c>
      <c r="CY6" s="28" t="s">
        <v>357</v>
      </c>
      <c r="CZ6" s="28" t="s">
        <v>436</v>
      </c>
      <c r="DA6" s="28" t="s">
        <v>437</v>
      </c>
      <c r="DB6" s="73" t="s">
        <v>358</v>
      </c>
      <c r="DC6" s="77" t="s">
        <v>359</v>
      </c>
      <c r="DD6" s="28" t="s">
        <v>360</v>
      </c>
      <c r="DE6" s="74" t="s">
        <v>361</v>
      </c>
      <c r="DF6" s="28" t="s">
        <v>361</v>
      </c>
      <c r="DG6" s="74" t="s">
        <v>362</v>
      </c>
      <c r="DH6" s="28" t="s">
        <v>362</v>
      </c>
      <c r="DI6" s="73" t="s">
        <v>363</v>
      </c>
      <c r="DJ6" s="77" t="s">
        <v>364</v>
      </c>
      <c r="DK6" s="28" t="s">
        <v>365</v>
      </c>
      <c r="DL6" s="73" t="s">
        <v>438</v>
      </c>
      <c r="DM6" s="77" t="s">
        <v>439</v>
      </c>
      <c r="DN6" s="28" t="s">
        <v>440</v>
      </c>
      <c r="DO6" s="73" t="s">
        <v>441</v>
      </c>
      <c r="DP6" s="77" t="s">
        <v>442</v>
      </c>
      <c r="DQ6" s="28" t="s">
        <v>443</v>
      </c>
      <c r="DR6" s="73" t="s">
        <v>444</v>
      </c>
      <c r="DS6" s="77" t="s">
        <v>445</v>
      </c>
      <c r="DT6" s="28" t="s">
        <v>446</v>
      </c>
      <c r="DU6" s="81" t="s">
        <v>447</v>
      </c>
      <c r="DV6" s="82" t="s">
        <v>447</v>
      </c>
      <c r="DW6" s="31" t="s">
        <v>447</v>
      </c>
      <c r="DX6" s="100" t="s">
        <v>447</v>
      </c>
      <c r="DY6" s="101" t="s">
        <v>447</v>
      </c>
      <c r="DZ6" s="100" t="s">
        <v>447</v>
      </c>
      <c r="EA6" s="101" t="s">
        <v>447</v>
      </c>
      <c r="EB6" s="97" t="s">
        <v>447</v>
      </c>
      <c r="EC6" s="78" t="s">
        <v>448</v>
      </c>
      <c r="ED6" s="102" t="s">
        <v>448</v>
      </c>
      <c r="EE6" s="73" t="s">
        <v>449</v>
      </c>
      <c r="EF6" s="77" t="s">
        <v>450</v>
      </c>
      <c r="EG6" s="28" t="s">
        <v>451</v>
      </c>
      <c r="EH6" s="73" t="s">
        <v>452</v>
      </c>
      <c r="EI6" s="73" t="s">
        <v>453</v>
      </c>
      <c r="EJ6" s="77" t="s">
        <v>454</v>
      </c>
      <c r="EK6" s="77" t="s">
        <v>455</v>
      </c>
      <c r="EL6" s="83" t="s">
        <v>375</v>
      </c>
      <c r="EM6" s="83" t="s">
        <v>376</v>
      </c>
      <c r="EN6" s="29" t="s">
        <v>373</v>
      </c>
      <c r="EO6" s="29" t="s">
        <v>456</v>
      </c>
      <c r="EP6" s="30" t="s">
        <v>375</v>
      </c>
      <c r="EQ6" s="30" t="s">
        <v>376</v>
      </c>
      <c r="ER6" s="31" t="s">
        <v>375</v>
      </c>
      <c r="ES6" s="31" t="s">
        <v>376</v>
      </c>
      <c r="ET6" s="73" t="s">
        <v>457</v>
      </c>
      <c r="EU6" s="77" t="s">
        <v>458</v>
      </c>
      <c r="EV6" s="28" t="s">
        <v>459</v>
      </c>
      <c r="EW6" s="29" t="s">
        <v>2</v>
      </c>
      <c r="EX6" s="30" t="s">
        <v>3</v>
      </c>
      <c r="EY6" s="31" t="s">
        <v>4</v>
      </c>
      <c r="EZ6" s="73" t="s">
        <v>460</v>
      </c>
      <c r="FA6" s="77" t="s">
        <v>461</v>
      </c>
      <c r="FB6" s="28" t="s">
        <v>462</v>
      </c>
      <c r="FC6" s="29" t="s">
        <v>377</v>
      </c>
      <c r="FD6" s="30" t="s">
        <v>378</v>
      </c>
      <c r="FE6" s="31" t="s">
        <v>378</v>
      </c>
      <c r="FF6" s="78" t="s">
        <v>463</v>
      </c>
      <c r="FG6" s="79" t="s">
        <v>464</v>
      </c>
      <c r="FH6" s="80" t="s">
        <v>465</v>
      </c>
      <c r="FI6" s="103" t="s">
        <v>466</v>
      </c>
      <c r="FJ6" s="104" t="s">
        <v>466</v>
      </c>
      <c r="FK6" s="105" t="s">
        <v>466</v>
      </c>
      <c r="FL6" s="102" t="s">
        <v>466</v>
      </c>
      <c r="FM6" s="97" t="s">
        <v>466</v>
      </c>
      <c r="FN6" s="73" t="s">
        <v>381</v>
      </c>
      <c r="FO6" s="42" t="s">
        <v>467</v>
      </c>
      <c r="FP6" s="43" t="s">
        <v>468</v>
      </c>
      <c r="FQ6" s="44" t="s">
        <v>469</v>
      </c>
      <c r="FR6" s="78" t="s">
        <v>470</v>
      </c>
      <c r="FS6" s="79" t="s">
        <v>471</v>
      </c>
      <c r="FT6" s="80" t="s">
        <v>472</v>
      </c>
      <c r="FU6" s="84" t="s">
        <v>383</v>
      </c>
      <c r="FV6" s="85" t="s">
        <v>383</v>
      </c>
      <c r="FW6" s="89" t="s">
        <v>383</v>
      </c>
      <c r="FX6" s="84" t="s">
        <v>383</v>
      </c>
      <c r="FY6" s="85" t="s">
        <v>383</v>
      </c>
      <c r="FZ6" s="85" t="s">
        <v>473</v>
      </c>
      <c r="GA6" s="89" t="s">
        <v>473</v>
      </c>
      <c r="GB6" s="103" t="s">
        <v>382</v>
      </c>
      <c r="GC6" s="104" t="s">
        <v>382</v>
      </c>
      <c r="GD6" s="103" t="s">
        <v>382</v>
      </c>
      <c r="GE6" s="104" t="s">
        <v>382</v>
      </c>
      <c r="GF6" s="106" t="s">
        <v>382</v>
      </c>
      <c r="GG6" s="29" t="s">
        <v>388</v>
      </c>
      <c r="GH6" s="30" t="s">
        <v>388</v>
      </c>
      <c r="GI6" s="31" t="s">
        <v>388</v>
      </c>
      <c r="GJ6" s="105" t="s">
        <v>382</v>
      </c>
      <c r="GK6" s="102" t="s">
        <v>382</v>
      </c>
      <c r="GL6" s="105" t="s">
        <v>382</v>
      </c>
      <c r="GM6" s="102" t="s">
        <v>382</v>
      </c>
      <c r="GN6" s="102" t="s">
        <v>382</v>
      </c>
      <c r="GO6" s="73" t="s">
        <v>474</v>
      </c>
      <c r="GP6" s="77" t="s">
        <v>475</v>
      </c>
      <c r="GQ6" s="28" t="s">
        <v>390</v>
      </c>
      <c r="GR6" s="73" t="s">
        <v>391</v>
      </c>
      <c r="GS6" s="77" t="s">
        <v>392</v>
      </c>
      <c r="GT6" s="28" t="s">
        <v>393</v>
      </c>
      <c r="GU6" s="31" t="s">
        <v>394</v>
      </c>
      <c r="GV6" s="107" t="s">
        <v>476</v>
      </c>
      <c r="GW6" s="102" t="s">
        <v>476</v>
      </c>
      <c r="GX6" s="107" t="s">
        <v>476</v>
      </c>
      <c r="GY6" s="102" t="s">
        <v>476</v>
      </c>
      <c r="GZ6" s="107" t="s">
        <v>476</v>
      </c>
      <c r="HA6" s="102" t="s">
        <v>476</v>
      </c>
      <c r="HB6" s="97" t="s">
        <v>476</v>
      </c>
      <c r="HC6" s="107" t="s">
        <v>476</v>
      </c>
      <c r="HD6" s="108" t="s">
        <v>476</v>
      </c>
      <c r="HE6" s="55" t="s">
        <v>404</v>
      </c>
      <c r="HF6" s="52" t="s">
        <v>469</v>
      </c>
      <c r="HG6" s="90" t="s">
        <v>477</v>
      </c>
      <c r="HH6" s="91" t="s">
        <v>397</v>
      </c>
      <c r="HI6" s="91" t="s">
        <v>398</v>
      </c>
      <c r="HJ6" s="91" t="s">
        <v>399</v>
      </c>
      <c r="HK6" s="91" t="s">
        <v>478</v>
      </c>
      <c r="HL6" s="91" t="s">
        <v>479</v>
      </c>
      <c r="HM6" s="91" t="s">
        <v>480</v>
      </c>
      <c r="HN6" s="91" t="s">
        <v>481</v>
      </c>
      <c r="HO6" s="91" t="s">
        <v>5</v>
      </c>
      <c r="HP6" s="91" t="s">
        <v>482</v>
      </c>
      <c r="HQ6" s="91" t="s">
        <v>483</v>
      </c>
      <c r="HR6" s="92" t="s">
        <v>477</v>
      </c>
      <c r="HS6" s="93" t="s">
        <v>397</v>
      </c>
      <c r="HT6" s="93" t="s">
        <v>398</v>
      </c>
      <c r="HU6" s="93" t="s">
        <v>399</v>
      </c>
      <c r="HV6" s="93" t="s">
        <v>478</v>
      </c>
      <c r="HW6" s="93" t="s">
        <v>479</v>
      </c>
      <c r="HX6" s="93" t="s">
        <v>480</v>
      </c>
      <c r="HY6" s="93" t="s">
        <v>481</v>
      </c>
      <c r="HZ6" s="93" t="s">
        <v>6</v>
      </c>
      <c r="IA6" s="93" t="s">
        <v>482</v>
      </c>
      <c r="IB6" s="93" t="s">
        <v>483</v>
      </c>
      <c r="IC6" s="94" t="s">
        <v>477</v>
      </c>
      <c r="ID6" s="91" t="s">
        <v>397</v>
      </c>
      <c r="IE6" s="91" t="s">
        <v>398</v>
      </c>
      <c r="IF6" s="91" t="s">
        <v>399</v>
      </c>
      <c r="IG6" s="91" t="s">
        <v>478</v>
      </c>
      <c r="IH6" s="91" t="s">
        <v>479</v>
      </c>
      <c r="II6" s="91" t="s">
        <v>480</v>
      </c>
      <c r="IJ6" s="91" t="s">
        <v>402</v>
      </c>
      <c r="IK6" s="91" t="s">
        <v>2</v>
      </c>
      <c r="IL6" s="91" t="s">
        <v>482</v>
      </c>
      <c r="IM6" s="91" t="s">
        <v>483</v>
      </c>
      <c r="IN6" s="92" t="s">
        <v>477</v>
      </c>
      <c r="IO6" s="93" t="s">
        <v>397</v>
      </c>
      <c r="IP6" s="93" t="s">
        <v>398</v>
      </c>
      <c r="IQ6" s="93" t="s">
        <v>399</v>
      </c>
      <c r="IR6" s="93" t="s">
        <v>478</v>
      </c>
      <c r="IS6" s="93" t="s">
        <v>479</v>
      </c>
      <c r="IT6" s="93" t="s">
        <v>480</v>
      </c>
      <c r="IU6" s="93" t="s">
        <v>406</v>
      </c>
      <c r="IV6" s="93" t="s">
        <v>3</v>
      </c>
      <c r="IW6" s="93" t="s">
        <v>482</v>
      </c>
      <c r="IX6" s="93" t="s">
        <v>483</v>
      </c>
      <c r="IY6" s="95" t="s">
        <v>477</v>
      </c>
      <c r="IZ6" s="96" t="s">
        <v>397</v>
      </c>
      <c r="JA6" s="96" t="s">
        <v>398</v>
      </c>
      <c r="JB6" s="96" t="s">
        <v>399</v>
      </c>
      <c r="JC6" s="96" t="s">
        <v>478</v>
      </c>
      <c r="JD6" s="96" t="s">
        <v>479</v>
      </c>
      <c r="JE6" s="96" t="s">
        <v>480</v>
      </c>
      <c r="JF6" s="96" t="s">
        <v>406</v>
      </c>
      <c r="JG6" s="96" t="s">
        <v>4</v>
      </c>
      <c r="JH6" s="96" t="s">
        <v>484</v>
      </c>
      <c r="JI6" s="96" t="s">
        <v>483</v>
      </c>
    </row>
    <row r="7" spans="1:269" x14ac:dyDescent="0.35">
      <c r="A7" s="109">
        <v>1992</v>
      </c>
      <c r="B7" s="110">
        <v>346600000000</v>
      </c>
      <c r="C7" s="111">
        <v>56.2</v>
      </c>
      <c r="D7" s="112">
        <f>C7/100</f>
        <v>0.56200000000000006</v>
      </c>
      <c r="E7" s="111">
        <f>B7/C7</f>
        <v>6167259786.4768677</v>
      </c>
      <c r="F7" s="113">
        <f>B7/D7</f>
        <v>616725978647.68677</v>
      </c>
      <c r="G7" s="114">
        <v>21190000000</v>
      </c>
      <c r="H7" s="110">
        <v>6240000000</v>
      </c>
      <c r="I7" s="110">
        <v>134820000000</v>
      </c>
      <c r="J7" s="110">
        <v>49956000000</v>
      </c>
      <c r="K7" s="112">
        <v>61.1</v>
      </c>
      <c r="L7" s="112">
        <f>K7/100</f>
        <v>0.61099999999999999</v>
      </c>
      <c r="M7" s="112">
        <f>G7/K7</f>
        <v>346808510.63829786</v>
      </c>
      <c r="N7" s="112">
        <f>I7/K7</f>
        <v>2206546644.8445172</v>
      </c>
      <c r="O7" s="112">
        <f>I7/K7</f>
        <v>2206546644.8445172</v>
      </c>
      <c r="P7" s="112">
        <f>G7/L7</f>
        <v>34680851063.829788</v>
      </c>
      <c r="Q7" s="112">
        <f>H7/L7</f>
        <v>10212765957.446808</v>
      </c>
      <c r="R7" s="112">
        <f>I7/L7</f>
        <v>220654664484.45172</v>
      </c>
      <c r="S7" s="115">
        <f>SUM(P7:R7)</f>
        <v>265548281505.72833</v>
      </c>
      <c r="T7" s="112">
        <f>J7/K7</f>
        <v>817610474.63175118</v>
      </c>
      <c r="U7" s="115">
        <f>J7/L7</f>
        <v>81761047463.175125</v>
      </c>
      <c r="V7" s="116">
        <f>F7+S7+U7</f>
        <v>964035307616.59021</v>
      </c>
      <c r="W7" s="117">
        <f>B7+G7+H7+I7+J7</f>
        <v>558806000000</v>
      </c>
      <c r="X7" s="112">
        <v>54.444024999999996</v>
      </c>
      <c r="Y7" s="112">
        <f>X7/100</f>
        <v>0.54444024999999996</v>
      </c>
      <c r="Z7" s="112">
        <f>W7/Y7</f>
        <v>1026386274710.5858</v>
      </c>
      <c r="AA7" s="115">
        <v>0.28299999999999997</v>
      </c>
      <c r="AB7" s="115">
        <v>0.30299999999999999</v>
      </c>
      <c r="AC7" s="115">
        <f>AA7+AB7</f>
        <v>0.58599999999999997</v>
      </c>
      <c r="AD7" s="118">
        <v>0.26507460688957302</v>
      </c>
      <c r="AE7" s="115">
        <f>AC7+AD7</f>
        <v>0.85107460688957293</v>
      </c>
      <c r="AF7" s="115">
        <f>1-AD7-AC7</f>
        <v>0.14892539311042696</v>
      </c>
      <c r="AG7" s="119">
        <v>0.27736159501970098</v>
      </c>
      <c r="AH7" s="119">
        <v>0.29988076225443999</v>
      </c>
      <c r="AI7" s="119">
        <f>AG7+AH7</f>
        <v>0.57724235727414097</v>
      </c>
      <c r="AJ7" s="16">
        <v>3018000</v>
      </c>
      <c r="AK7" s="120">
        <v>19653000</v>
      </c>
      <c r="AL7" s="121">
        <f>AJ7+AK7</f>
        <v>22671000</v>
      </c>
      <c r="AM7" s="122">
        <v>0.1823572</v>
      </c>
      <c r="AN7" s="123">
        <f>AK7*AM7</f>
        <v>3583866.0515999999</v>
      </c>
      <c r="AO7" s="124">
        <v>0.81734648139847599</v>
      </c>
      <c r="AP7" s="123">
        <f>AK7*AO7</f>
        <v>16063310.398924248</v>
      </c>
      <c r="AQ7" s="125">
        <v>0.50219360000000002</v>
      </c>
      <c r="AR7" s="123">
        <f>AP7*AQ7</f>
        <v>8066891.6771532046</v>
      </c>
      <c r="AS7" s="123">
        <f>AP7*(1-AQ7)</f>
        <v>7996418.7217710437</v>
      </c>
      <c r="AT7" s="115">
        <f t="shared" ref="AT7:AT32" si="0">(F7*AA7)/(AR7*52)</f>
        <v>416.07259300955047</v>
      </c>
      <c r="AU7" s="126">
        <v>0.57818650000000005</v>
      </c>
      <c r="AV7" s="123">
        <f t="shared" ref="AV7:AV32" si="1">AN7*AU7</f>
        <v>2072142.9688434235</v>
      </c>
      <c r="AW7" s="123">
        <f>AN7*(1-AU7)</f>
        <v>1511723.0827565764</v>
      </c>
      <c r="AX7" s="127">
        <f>AR7+AV7</f>
        <v>10139034.645996628</v>
      </c>
      <c r="AY7" s="127">
        <f>AS7+AW7</f>
        <v>9508141.8045276199</v>
      </c>
      <c r="AZ7" s="16">
        <f t="shared" ref="AZ7:AZ32" si="2">AN7*AU7*AT7*52</f>
        <v>44832418702.925949</v>
      </c>
      <c r="BA7" s="16">
        <f t="shared" ref="BA7:BA35" si="3">U7-AZ7</f>
        <v>36928628760.249176</v>
      </c>
      <c r="BB7" s="16">
        <f t="shared" ref="BB7:BB34" si="4">F7*AA7</f>
        <v>174533451957.29535</v>
      </c>
      <c r="BC7" s="16">
        <f t="shared" ref="BC7:BC32" si="5">F7*AB7</f>
        <v>186867971530.24908</v>
      </c>
      <c r="BD7" s="17">
        <f t="shared" ref="BD7:BD32" si="6">F7*AD7</f>
        <v>163478396348.62277</v>
      </c>
      <c r="BE7" s="16">
        <f>SUM(BB7:BD7)</f>
        <v>524879819836.16724</v>
      </c>
      <c r="BF7" s="117">
        <v>616725978647.68677</v>
      </c>
      <c r="BG7" s="116">
        <f>BE7/BF7</f>
        <v>0.85107460688957304</v>
      </c>
      <c r="BH7" s="115">
        <v>0.85107460688957293</v>
      </c>
      <c r="BI7" s="17">
        <v>15758046.8943795</v>
      </c>
      <c r="BJ7" s="7">
        <f>BF7*BH7</f>
        <v>524879819836.16718</v>
      </c>
      <c r="BK7" s="16">
        <f>BB7+AZ7</f>
        <v>219365870660.22131</v>
      </c>
      <c r="BL7" s="112">
        <f t="shared" ref="BL7:BL32" si="7">BF7/AL7</f>
        <v>27203.298427404472</v>
      </c>
      <c r="BM7" s="112">
        <f t="shared" ref="BM7:BM32" si="8">BJ7/AL7</f>
        <v>23152.036515202999</v>
      </c>
      <c r="BN7" s="115">
        <f t="shared" ref="BN7:BN32" si="9">BK7/AX7</f>
        <v>21635.774836496625</v>
      </c>
      <c r="BO7" s="112">
        <f>BL7/52</f>
        <v>523.14035437316295</v>
      </c>
      <c r="BP7" s="112">
        <f>BM7/52</f>
        <v>445.23147144621151</v>
      </c>
      <c r="BQ7" s="115">
        <f>BN7/52</f>
        <v>416.07259300955047</v>
      </c>
      <c r="BR7" s="112">
        <f t="shared" ref="BR7:BR32" si="10">V7-BF7</f>
        <v>347309328968.90344</v>
      </c>
      <c r="BS7" s="115">
        <f t="shared" ref="BS7:BS32" si="11">V7-BK7</f>
        <v>744669436956.3689</v>
      </c>
      <c r="BT7" s="112">
        <f t="shared" ref="BT7:BT32" si="12">S7+U7</f>
        <v>347309328968.90344</v>
      </c>
      <c r="BU7" s="115">
        <f t="shared" ref="BU7:BU32" si="13">S7+BA7+BC7</f>
        <v>489344881796.22662</v>
      </c>
      <c r="BV7" s="118">
        <f t="shared" ref="BV7:BV32" si="14">S7+BA7+BC7+BD7</f>
        <v>652823278144.84937</v>
      </c>
      <c r="BW7" s="112">
        <f t="shared" ref="BW7:BW32" si="15">V7/AL7</f>
        <v>42522.840087185839</v>
      </c>
      <c r="BX7" s="115">
        <f t="shared" ref="BX7:BX32" si="16">V7/AX7</f>
        <v>95081.567553103989</v>
      </c>
      <c r="BY7" s="128">
        <f t="shared" ref="BY7:BY35" si="17">DL7*DX7</f>
        <v>887466837105.70715</v>
      </c>
      <c r="BZ7" s="119">
        <f t="shared" ref="BZ7:BZ34" si="18">DN7*DY7</f>
        <v>882013317607.74573</v>
      </c>
      <c r="CA7" s="113">
        <v>38.1</v>
      </c>
      <c r="CB7" s="113">
        <v>14.8</v>
      </c>
      <c r="CC7" s="113">
        <v>9.5</v>
      </c>
      <c r="CD7" s="113">
        <v>16437206.669469548</v>
      </c>
      <c r="CE7" s="113">
        <v>5093138.310393123</v>
      </c>
      <c r="CF7" s="113">
        <v>950214.79834878002</v>
      </c>
      <c r="CG7" s="113">
        <f>CD7+CE7+CF7</f>
        <v>22480559.778211452</v>
      </c>
      <c r="CH7" s="113">
        <v>22671000</v>
      </c>
      <c r="CI7" s="113">
        <f>CH7-CG7</f>
        <v>190440.22178854793</v>
      </c>
      <c r="CJ7" s="122">
        <f>CD7/CG7</f>
        <v>0.73117426041146782</v>
      </c>
      <c r="CK7" s="122">
        <f>CE7/CG7</f>
        <v>0.2265574505546557</v>
      </c>
      <c r="CL7" s="122">
        <f>CF7/CG7</f>
        <v>4.2268289033876492E-2</v>
      </c>
      <c r="CM7" s="129">
        <f t="shared" ref="CM7:CM35" si="19">((CA7*CD7)+(CB7*CE7)+(CC7*CF7))/(CD7+CE7+CF7)</f>
        <v>31.612338335707658</v>
      </c>
      <c r="CN7" s="16">
        <v>843407092.6894269</v>
      </c>
      <c r="CO7" s="16">
        <f t="shared" ref="CO7:CO35" si="20">CA7*CD7+CB7*CE7+CC7*CF7</f>
        <v>710663061.6849215</v>
      </c>
      <c r="CP7" s="130">
        <v>31.99</v>
      </c>
      <c r="CQ7" s="131">
        <f>2*CM7-CP7</f>
        <v>31.234676671415318</v>
      </c>
      <c r="CR7" s="5">
        <v>35.69</v>
      </c>
      <c r="CS7" s="132">
        <v>44.59</v>
      </c>
      <c r="CT7" s="5">
        <f t="shared" ref="CT7:CT35" si="21">((AR7*CR7)+(AV7*CS7))/(AR7+AV7)</f>
        <v>37.50891798051881</v>
      </c>
      <c r="CU7" s="5">
        <v>33.049999999999997</v>
      </c>
      <c r="CV7" s="5">
        <v>44.7</v>
      </c>
      <c r="CW7" s="133"/>
      <c r="CX7" s="134">
        <v>35.159999999999997</v>
      </c>
      <c r="CY7" s="5">
        <f>((CU7*AS7)+(CV7*AW7)+(CP7*AJ7))/(AS7+AW7+AJ7)</f>
        <v>34.200593226471753</v>
      </c>
      <c r="CZ7" s="5">
        <f>((CU7*AS7)+(CV7*AW7)+(CR7*AX7)+(CS7*AY7))/(AS7+AW7+AX7+AY7)</f>
        <v>38.335573645799322</v>
      </c>
      <c r="DA7" s="5">
        <f>((CU7*AS7)+(CV7*AW7)+(CP7*AJ7)+(CR7*AX7)+(CS7*AY7))/(AS7+AW7+AJ7+AX7+AY7)</f>
        <v>37.740330683565688</v>
      </c>
      <c r="DB7" s="117">
        <f>CZ7*52</f>
        <v>1993.4498295815647</v>
      </c>
      <c r="DC7" s="135">
        <f>DA7*52</f>
        <v>1962.4971955454157</v>
      </c>
      <c r="DD7" s="5">
        <f t="shared" ref="DD7:DD35" si="22">CT7*52</f>
        <v>1950.4637349869781</v>
      </c>
      <c r="DE7" s="131">
        <f t="shared" ref="DE7:DE35" si="23">CT7*AQ7*AK7</f>
        <v>370198422.77702814</v>
      </c>
      <c r="DF7" s="5">
        <f t="shared" ref="DF7:DF35" si="24">CR7*AR7</f>
        <v>287907363.95759785</v>
      </c>
      <c r="DG7" s="131">
        <f t="shared" ref="DG7:DG35" si="25">CT7*AU7*AK7</f>
        <v>426217559.0668025</v>
      </c>
      <c r="DH7" s="5">
        <f t="shared" ref="DH7:DH35" si="26">CS7*AV7</f>
        <v>92396854.980728269</v>
      </c>
      <c r="DI7" s="7">
        <f>AL7*CZ7</f>
        <v>869105790.12391639</v>
      </c>
      <c r="DJ7" s="136">
        <f>(CU7*AS7)+(CV7*AW7)+(CP7*AJ7)+(CR7*AX7)+(CS7*AY7)</f>
        <v>1214231670.1332581</v>
      </c>
      <c r="DK7" s="16">
        <f t="shared" ref="DK7:DK35" si="27">(AR7*CR7)+(AV7*CS7)</f>
        <v>380304218.93832612</v>
      </c>
      <c r="DL7" s="7">
        <f>DI7*52</f>
        <v>45193501086.443649</v>
      </c>
      <c r="DM7" s="136">
        <f>DJ7*52</f>
        <v>63140046846.92942</v>
      </c>
      <c r="DN7" s="16">
        <f>DK7*52</f>
        <v>19775819384.792957</v>
      </c>
      <c r="DO7" s="117">
        <f>DL7/AL7</f>
        <v>1993.4498295815645</v>
      </c>
      <c r="DP7" s="135">
        <f>DM7/(AS7+AW7+AJ7+AX7+AY7)</f>
        <v>1962.4971955454159</v>
      </c>
      <c r="DQ7" s="5">
        <f t="shared" ref="DQ7:DQ35" si="28">DN7/AX7</f>
        <v>1950.4637349869781</v>
      </c>
      <c r="DR7" s="117">
        <f t="shared" ref="DR7:DR35" si="29">V7/DL7</f>
        <v>21.331281809139689</v>
      </c>
      <c r="DS7" s="135">
        <f>V7/DM7</f>
        <v>15.268207037503528</v>
      </c>
      <c r="DT7" s="5">
        <f t="shared" ref="DT7:DT35" si="30">V7/DN7</f>
        <v>48.748185289248035</v>
      </c>
      <c r="DU7" s="137">
        <f t="shared" ref="DU7:DU35" si="31">FF7*(EE7+1)</f>
        <v>18.154512280164258</v>
      </c>
      <c r="DV7" s="138">
        <f t="shared" ref="DV7:DV35" si="32">FH7*(EG7+1)</f>
        <v>35.837238329625237</v>
      </c>
      <c r="DW7" s="130">
        <f t="shared" ref="DW7:DW35" si="33">FH7*(EF7+1)</f>
        <v>44.103818498451666</v>
      </c>
      <c r="DX7" s="137">
        <v>19.637045499267899</v>
      </c>
      <c r="DY7" s="138">
        <v>44.6005953253188</v>
      </c>
      <c r="DZ7" s="137">
        <f t="shared" ref="DZ7:DZ33" si="34">FK7*(EE7+1)</f>
        <v>21.331281809139689</v>
      </c>
      <c r="EA7" s="138">
        <v>32.746106227669102</v>
      </c>
      <c r="EB7" s="130">
        <v>40.336260907466695</v>
      </c>
      <c r="EC7" s="139">
        <f t="shared" ref="EC7:EC35" si="35">BR7/BF7</f>
        <v>0.56315015256931267</v>
      </c>
      <c r="ED7" s="140">
        <f t="shared" ref="ED7:ED35" si="36">BS7/BK7</f>
        <v>3.3946458248730824</v>
      </c>
      <c r="EE7" s="139">
        <f t="shared" ref="EE7:EE35" si="37">(S7+U7)/F7</f>
        <v>0.56315015256931267</v>
      </c>
      <c r="EF7" s="141">
        <f t="shared" ref="EF7:EF35" si="38">(S7+BC7+BA7+BD7)/(AZ7+BB7)</f>
        <v>2.9759564520226389</v>
      </c>
      <c r="EG7" s="142">
        <f t="shared" ref="EG7:EG35" si="39">(S7+BC7+BA7)/(AZ7+BB7)</f>
        <v>2.2307247719230641</v>
      </c>
      <c r="EH7" s="117">
        <f t="shared" ref="EH7:EH35" si="40">CZ7/(EE7+1)</f>
        <v>24.524562520617778</v>
      </c>
      <c r="EI7" s="117">
        <f t="shared" ref="EI7:EI35" si="41">CZ7-EH7</f>
        <v>13.811011125181544</v>
      </c>
      <c r="EJ7" s="135">
        <f t="shared" ref="EJ7:EJ35" si="42">DA7/(EF7+1)</f>
        <v>9.4921388448222359</v>
      </c>
      <c r="EK7" s="135">
        <f t="shared" ref="EK7:EK35" si="43">DA7-EJ7</f>
        <v>28.248191838743452</v>
      </c>
      <c r="EL7" s="143">
        <f t="shared" ref="EL7:EL35" si="44">CT7/(EG7+1)</f>
        <v>11.610062951351908</v>
      </c>
      <c r="EM7" s="143">
        <f t="shared" ref="EM7:EM35" si="45">CT7-EL7</f>
        <v>25.898855029166903</v>
      </c>
      <c r="EN7" s="144">
        <f t="shared" ref="EN7:EN35" si="46">CA7/(EE7+1)</f>
        <v>24.37385809506268</v>
      </c>
      <c r="EO7" s="145">
        <f t="shared" ref="EO7:EO35" si="47">CA7-EN7</f>
        <v>13.726141904937322</v>
      </c>
      <c r="EP7" s="146">
        <f t="shared" ref="EP7:EP35" si="48">CT7/(EG7+1)</f>
        <v>11.610062951351908</v>
      </c>
      <c r="EQ7" s="134">
        <f t="shared" ref="EQ7:EQ35" si="49">CT7-EP7</f>
        <v>25.898855029166903</v>
      </c>
      <c r="ER7" s="130">
        <f t="shared" ref="ER7:ER35" si="50">CT7/(EF7+1)</f>
        <v>9.4339358172389858</v>
      </c>
      <c r="ES7" s="130">
        <f t="shared" ref="ES7:ES35" si="51">CT7-ER7</f>
        <v>28.074982163279824</v>
      </c>
      <c r="ET7" s="117">
        <f>CZ7-24.52</f>
        <v>13.815573645799322</v>
      </c>
      <c r="EU7" s="135">
        <f>DA7-9.49</f>
        <v>28.250330683565686</v>
      </c>
      <c r="EV7" s="5">
        <f t="shared" ref="EV7:EV35" si="52">CT7-11.61</f>
        <v>25.89891798051881</v>
      </c>
      <c r="EW7" s="145">
        <f t="shared" ref="EW7:EW35" si="53">CA7-24.46</f>
        <v>13.64</v>
      </c>
      <c r="EX7" s="134">
        <f t="shared" ref="EX7:EX35" si="54">CT7-11.666</f>
        <v>25.842917980518809</v>
      </c>
      <c r="EY7" s="130">
        <f t="shared" ref="EY7:EY35" si="55">CT7-9.47</f>
        <v>28.038917980518811</v>
      </c>
      <c r="EZ7" s="117">
        <f>100*(ET7/24.52)</f>
        <v>56.344101328708497</v>
      </c>
      <c r="FA7" s="135">
        <f>100*(EU7/9.49)</f>
        <v>297.68525483209362</v>
      </c>
      <c r="FB7" s="5">
        <f>(EV7/11.61)*100</f>
        <v>223.07422894503713</v>
      </c>
      <c r="FC7" s="145">
        <f t="shared" ref="FC7:FC35" si="56">100*(EW7/24.46)</f>
        <v>55.764513491414561</v>
      </c>
      <c r="FD7" s="134">
        <f t="shared" ref="FD7:FD35" si="57">(EX7/11.666)*100</f>
        <v>221.52338402639131</v>
      </c>
      <c r="FE7" s="130">
        <f t="shared" ref="FE7:FE35" si="58">(EY7/9.47)*100</f>
        <v>296.0814992663021</v>
      </c>
      <c r="FF7" s="117">
        <f t="shared" ref="FF7:FF35" si="59">BJ7/DL7</f>
        <v>11.614055278262374</v>
      </c>
      <c r="FG7" s="135">
        <f>BL7/DC7</f>
        <v>13.861573147290105</v>
      </c>
      <c r="FH7" s="5">
        <f t="shared" ref="FH7:FH35" si="60">BK7/DN7</f>
        <v>11.09263117708829</v>
      </c>
      <c r="FI7" s="145">
        <f t="shared" ref="FI7:FI35" si="61">(BB7+BC7+BD7)/DL7</f>
        <v>11.614055278262375</v>
      </c>
      <c r="FJ7" s="134">
        <f t="shared" ref="FJ7:FJ35" si="62">BK7/DN7</f>
        <v>11.09263117708829</v>
      </c>
      <c r="FK7" s="145">
        <f t="shared" ref="FK7:FK35" si="63">F7/DL7</f>
        <v>13.646342147027891</v>
      </c>
      <c r="FL7" s="134">
        <f t="shared" ref="FL7:FL35" si="64">BK7/DN7</f>
        <v>11.09263117708829</v>
      </c>
      <c r="FM7" s="130">
        <v>10.184959768193794</v>
      </c>
      <c r="FN7" s="111">
        <v>62.6</v>
      </c>
      <c r="FO7" s="147">
        <f t="shared" ref="FO7:FO35" si="65">FN7/DR7</f>
        <v>2.9346572118876675</v>
      </c>
      <c r="FP7" s="148">
        <f t="shared" ref="FP7:FP35" si="66">FN7/DS7</f>
        <v>4.1000229985246257</v>
      </c>
      <c r="FQ7" s="149">
        <f t="shared" ref="FQ7:FQ35" si="67">FN7/DT7</f>
        <v>1.2841503663892724</v>
      </c>
      <c r="FR7" s="150">
        <f t="shared" ref="FR7:FT35" si="68">1/DR7</f>
        <v>4.6879508177119292E-2</v>
      </c>
      <c r="FS7" s="151">
        <f t="shared" si="68"/>
        <v>6.549557505630392E-2</v>
      </c>
      <c r="FT7" s="122">
        <f t="shared" si="68"/>
        <v>2.0513584127624159E-2</v>
      </c>
      <c r="FU7" s="152">
        <f t="shared" ref="FU7:FU35" si="69">CA7/(FK7*(EE7+1))</f>
        <v>1.786109261548245</v>
      </c>
      <c r="FV7" s="140">
        <f t="shared" ref="FV7:FV35" si="70">CT7/((FH7*(EG7+1)))</f>
        <v>1.0466464417686911</v>
      </c>
      <c r="FW7" s="153">
        <f t="shared" ref="FW7:FW35" si="71">CT7/(FH7*(EF7+1))</f>
        <v>0.85046871807337088</v>
      </c>
      <c r="FX7" s="152">
        <f t="shared" ref="FX7:FX35" si="72">CA7/((FL7*(EC7+1)))</f>
        <v>2.1973017678084008</v>
      </c>
      <c r="FY7" s="140">
        <f t="shared" ref="FY7:FY35" si="73">CT7/((FH7*(ED7+1)))</f>
        <v>0.76944234452952709</v>
      </c>
      <c r="FZ7" s="140">
        <f>FV7*52</f>
        <v>54.425614971971939</v>
      </c>
      <c r="GA7" s="153">
        <f>FW7*52</f>
        <v>44.224373339815287</v>
      </c>
      <c r="GB7" s="152">
        <f t="shared" ref="GB7:GB35" si="74">CA7/((FF7*CA7)*(EC7+1))</f>
        <v>5.5082724590327148E-2</v>
      </c>
      <c r="GC7" s="154">
        <f t="shared" ref="GC7:GC35" si="75">CT7/((FH7*CT7)*(ED7+1))</f>
        <v>2.0513584127624156E-2</v>
      </c>
      <c r="GD7" s="152">
        <f t="shared" ref="GD7:GD35" si="76">CA7/((FK7*CA7)*(EE7+1))</f>
        <v>4.6879508177119299E-2</v>
      </c>
      <c r="GE7" s="154">
        <f t="shared" ref="GE7:GE35" si="77">CT7/((FL7*CT7)*(EG7+1))</f>
        <v>2.7903935866992836E-2</v>
      </c>
      <c r="GF7" s="155">
        <f t="shared" ref="GF7:GF35" si="78">CT7/((FM7*CT7)*(EF7+1))</f>
        <v>2.4694433241400724E-2</v>
      </c>
      <c r="GG7" s="152">
        <f t="shared" ref="GG7:GG35" si="79">DU7*FJ7</f>
        <v>201.38130892378226</v>
      </c>
      <c r="GH7" s="134">
        <f t="shared" ref="GH7:GH35" si="80">FV7*DV7</f>
        <v>37.50891798051881</v>
      </c>
      <c r="GI7" s="130">
        <f t="shared" ref="GI7:GI35" si="81">DW7*FW7</f>
        <v>37.50891798051881</v>
      </c>
      <c r="GJ7" s="152">
        <f t="shared" ref="GJ7:GN33" si="82">GB7*DX7</f>
        <v>1.0816619690038969</v>
      </c>
      <c r="GK7" s="154">
        <f t="shared" si="82"/>
        <v>0.9149180643480479</v>
      </c>
      <c r="GL7" s="152">
        <f t="shared" si="82"/>
        <v>1.0000000000000002</v>
      </c>
      <c r="GM7" s="154">
        <f t="shared" si="82"/>
        <v>0.9137452480706133</v>
      </c>
      <c r="GN7" s="154">
        <f t="shared" si="82"/>
        <v>0.99608110218715806</v>
      </c>
      <c r="GO7" s="112">
        <f>FF7/DR7</f>
        <v>0.54446119938681636</v>
      </c>
      <c r="GP7" s="156">
        <f>FG7/DS7</f>
        <v>0.907871704466786</v>
      </c>
      <c r="GQ7" s="115">
        <f>FH7/DT7</f>
        <v>0.22754962284790722</v>
      </c>
      <c r="GR7" s="117">
        <f>GQ7*DO7</f>
        <v>453.60875688750991</v>
      </c>
      <c r="GS7" s="135">
        <f>GP7*DP7</f>
        <v>1781.6956739311042</v>
      </c>
      <c r="GT7" s="5">
        <f>GQ7*DQ7</f>
        <v>443.82728727480736</v>
      </c>
      <c r="GU7" s="130">
        <f t="shared" ref="GU7:GU35" si="83">(DD7*FH7)/DW7</f>
        <v>490.56466249642722</v>
      </c>
      <c r="GV7" s="145">
        <f t="shared" ref="GV7:GV35" si="84">BM7/DZ7</f>
        <v>1085.3560851314235</v>
      </c>
      <c r="GW7" s="134">
        <f t="shared" ref="GW7:GW35" si="85">BN7/DY7</f>
        <v>485.10058394253002</v>
      </c>
      <c r="GX7" s="157">
        <f>FF7*GB7</f>
        <v>0.63973380826936166</v>
      </c>
      <c r="GY7" s="154">
        <f t="shared" ref="GY7:HB33" si="86">FJ7*GC7</f>
        <v>0.2275496228479072</v>
      </c>
      <c r="GZ7" s="157">
        <f t="shared" si="86"/>
        <v>0.63973380826936177</v>
      </c>
      <c r="HA7" s="154">
        <f t="shared" si="86"/>
        <v>0.30952806896167689</v>
      </c>
      <c r="HB7" s="155">
        <f t="shared" si="86"/>
        <v>0.25151180906201381</v>
      </c>
      <c r="HC7" s="157">
        <f t="shared" ref="HC7:HC33" si="87">FF7/DX7</f>
        <v>0.5914359814818051</v>
      </c>
      <c r="HD7" s="154">
        <f t="shared" ref="HD7:HD33" si="88">FH7/DY7</f>
        <v>0.24871038371075826</v>
      </c>
      <c r="HE7" s="144"/>
      <c r="HF7" s="146"/>
      <c r="HG7" s="158">
        <f t="shared" ref="HG7:HG33" si="89">100*(DX7/19.64)</f>
        <v>99.98495671725</v>
      </c>
      <c r="HH7" s="2">
        <f t="shared" ref="HH7:HH33" si="90">100*(EH7/24.46)</f>
        <v>100.26395143343328</v>
      </c>
      <c r="HI7" s="2">
        <f t="shared" ref="HI7:HI33" si="91">100*(EI7/13.64)</f>
        <v>101.2537472520641</v>
      </c>
      <c r="HJ7" s="2">
        <f t="shared" ref="HJ7:HJ33" si="92">100*(CA7/38.1)</f>
        <v>100</v>
      </c>
      <c r="HK7" s="2">
        <f t="shared" ref="HK7:HK33" si="93">100*(BL7/24977.347)</f>
        <v>108.91188094317812</v>
      </c>
      <c r="HL7" s="2">
        <f>100*(GX7/0.642)</f>
        <v>99.647010633856965</v>
      </c>
      <c r="HM7" s="2">
        <f t="shared" ref="HM7:HM33" si="94">100*(FF7/10.73)</f>
        <v>108.23909858585623</v>
      </c>
      <c r="HN7" s="2">
        <f t="shared" ref="HN7:HN33" si="95">100*(EC7/0.55761)</f>
        <v>100.99355330236412</v>
      </c>
      <c r="HO7" s="2">
        <f>100*(ET7/13.64)</f>
        <v>101.28719681671056</v>
      </c>
      <c r="HP7" s="2">
        <f t="shared" ref="HP7:HP33" si="96">100*(FO7/3.1879)</f>
        <v>92.056125094503201</v>
      </c>
      <c r="HQ7" s="2">
        <f>100*(GJ7/1.17499)</f>
        <v>92.057121252427422</v>
      </c>
      <c r="HR7" s="159">
        <f t="shared" ref="HR7:HR33" si="97">100*(DY7/44.6)</f>
        <v>100.00133481013182</v>
      </c>
      <c r="HS7" s="12">
        <f t="shared" ref="HS7:HS33" si="98">100*(EL7/8.57)</f>
        <v>135.47331331799194</v>
      </c>
      <c r="HT7" s="12">
        <f t="shared" ref="HT7:HT33" si="99">100*(EM7/28.94)</f>
        <v>89.491551586616808</v>
      </c>
      <c r="HU7" s="12">
        <f t="shared" ref="HU7:HU33" si="100">100*(CT7/37.51)</f>
        <v>99.997115383947772</v>
      </c>
      <c r="HV7" s="12">
        <f t="shared" ref="HV7:HV33" si="101">100*(BN7/19865.395)</f>
        <v>108.91187835176007</v>
      </c>
      <c r="HW7" s="12">
        <f>100*(GY7/0.2284)</f>
        <v>99.627680756526786</v>
      </c>
      <c r="HX7" s="12">
        <f t="shared" ref="HX7:HX33" si="102">100*(FH7/10.18)</f>
        <v>108.96494280047435</v>
      </c>
      <c r="HY7" s="12">
        <f t="shared" ref="HY7:HY33" si="103">100*(ED7/3.37906)</f>
        <v>100.4612473549769</v>
      </c>
      <c r="HZ7" s="12">
        <f t="shared" ref="HZ7:HZ33" si="104">100*(EV7/28.94)</f>
        <v>89.491769110293049</v>
      </c>
      <c r="IA7" s="12">
        <f t="shared" ref="IA7:IA33" si="105">100*(FQ7/1.4036)</f>
        <v>91.48976677039559</v>
      </c>
      <c r="IB7" s="12">
        <f>100*(GK7/1)</f>
        <v>91.491806434804786</v>
      </c>
      <c r="IC7" s="158">
        <f t="shared" ref="IC7:IC33" si="106">100*(DZ7/19.64)</f>
        <v>108.61141450682123</v>
      </c>
      <c r="ID7" s="2">
        <f t="shared" ref="ID7:ID33" si="107">100*(EN7/24.461)</f>
        <v>99.643751666173415</v>
      </c>
      <c r="IE7" s="2">
        <f t="shared" ref="IE7:IE33" si="108">100*(EO7/13.64)</f>
        <v>100.63153889250236</v>
      </c>
      <c r="IF7" s="2">
        <f t="shared" ref="IF7:IF33" si="109">100*(CA7/38.1)</f>
        <v>100</v>
      </c>
      <c r="IG7" s="2">
        <f t="shared" ref="IG7:IG33" si="110">100*(BM7/21257.586)</f>
        <v>108.91187981176695</v>
      </c>
      <c r="IH7" s="2">
        <f>100*(GZ7/0.642)</f>
        <v>99.647010633856965</v>
      </c>
      <c r="II7" s="2">
        <f t="shared" ref="II7:II33" si="111">100*(FK7/12.61)</f>
        <v>108.21841512313949</v>
      </c>
      <c r="IJ7" s="2">
        <f t="shared" ref="IJ7:IJ33" si="112">100*(EE7/0.55761)</f>
        <v>100.99355330236412</v>
      </c>
      <c r="IK7" s="2">
        <f t="shared" ref="IK7:IK33" si="113">100*(EW7/13.64)</f>
        <v>100</v>
      </c>
      <c r="IL7" s="2">
        <f t="shared" ref="IL7:IL33" si="114">100*(GD7/0.05092)</f>
        <v>92.065019986487229</v>
      </c>
      <c r="IM7" s="2">
        <f>100*(GL7/1)</f>
        <v>100.00000000000003</v>
      </c>
      <c r="IN7" s="159">
        <f t="shared" ref="IN7:IN33" si="115">100*(EA7/32.75)</f>
        <v>99.988110618836956</v>
      </c>
      <c r="IO7" s="12">
        <f t="shared" ref="IO7:IO33" si="116">100*(EP7/11.666)</f>
        <v>99.520512183712569</v>
      </c>
      <c r="IP7" s="12">
        <f t="shared" ref="IP7:IP33" si="117">100*(EQ7/25.84)</f>
        <v>100.22776714073881</v>
      </c>
      <c r="IQ7" s="12">
        <f t="shared" ref="IQ7:IQ33" si="118">100*(CT7/37.51)</f>
        <v>99.997115383947772</v>
      </c>
      <c r="IR7" s="12">
        <f t="shared" ref="IR7:IR33" si="119">100*(BN7/19865.395)</f>
        <v>108.91187835176007</v>
      </c>
      <c r="IS7" s="12">
        <f>100*(HA7/0.311)</f>
        <v>99.526710277066528</v>
      </c>
      <c r="IT7" s="12">
        <f t="shared" ref="IT7:IT33" si="120">100*(FL7/10.18)</f>
        <v>108.96494280047435</v>
      </c>
      <c r="IU7" s="12">
        <f t="shared" ref="IU7:IU33" si="121">100*(EG7/2.21514)</f>
        <v>100.7035569726096</v>
      </c>
      <c r="IV7" s="12">
        <f t="shared" ref="IV7:IV33" si="122">100*(EX7/25.84)</f>
        <v>100.01129249426783</v>
      </c>
      <c r="IW7" s="12">
        <f t="shared" ref="IW7:IW33" si="123">100*(GE7/0.0305)</f>
        <v>91.488314318009301</v>
      </c>
      <c r="IX7" s="12">
        <f>100*(GM7/1)</f>
        <v>91.374524807061334</v>
      </c>
      <c r="IY7" s="160">
        <f t="shared" ref="IY7:IY33" si="124">100*(EB7/40.34)</f>
        <v>99.990731054701769</v>
      </c>
      <c r="IZ7" s="25">
        <f t="shared" ref="IZ7:IZ33" si="125">100*(ER7/9.47)</f>
        <v>99.619174416462357</v>
      </c>
      <c r="JA7" s="25">
        <f t="shared" ref="JA7:JA33" si="126">100*(ES7/28.04)</f>
        <v>100.12475807161137</v>
      </c>
      <c r="JB7" s="25">
        <f t="shared" ref="JB7:JB33" si="127">100*(CT7/37.51)</f>
        <v>99.997115383947772</v>
      </c>
      <c r="JC7" s="25">
        <f t="shared" ref="JC7:JC33" si="128">100*(BN7/19865.395)</f>
        <v>108.91187835176007</v>
      </c>
      <c r="JD7" s="25">
        <f>100*(HB7/0.2525)</f>
        <v>99.608637252282691</v>
      </c>
      <c r="JE7" s="25">
        <f t="shared" ref="JE7:JE33" si="129">100*(FM7/10.18)</f>
        <v>100.04872070917284</v>
      </c>
      <c r="JF7" s="25">
        <f t="shared" ref="JF7:JF33" si="130">100*(EF7/2.96038)</f>
        <v>100.52616393917806</v>
      </c>
      <c r="JG7" s="25">
        <f t="shared" ref="JG7:JG33" si="131">100*(EY7/28.04)</f>
        <v>99.996141157342407</v>
      </c>
      <c r="JH7" s="25">
        <f t="shared" ref="JH7:JH33" si="132">100*(GF7/0.0248)</f>
        <v>99.574327586293236</v>
      </c>
      <c r="JI7" s="25">
        <f>100*(GN7/1)</f>
        <v>99.608110218715808</v>
      </c>
    </row>
    <row r="8" spans="1:269" x14ac:dyDescent="0.35">
      <c r="A8" s="109">
        <v>1993</v>
      </c>
      <c r="B8" s="110">
        <v>357329000000</v>
      </c>
      <c r="C8" s="111">
        <v>56.6</v>
      </c>
      <c r="D8" s="112">
        <f t="shared" ref="D8:D32" si="133">C8/100</f>
        <v>0.56600000000000006</v>
      </c>
      <c r="E8" s="111">
        <f t="shared" ref="E8:E33" si="134">B8/C8</f>
        <v>6313233215.5477028</v>
      </c>
      <c r="F8" s="113">
        <f t="shared" ref="F8:F32" si="135">B8/D8</f>
        <v>631323321554.77026</v>
      </c>
      <c r="G8" s="114">
        <v>28380000000</v>
      </c>
      <c r="H8" s="110">
        <v>7213000000</v>
      </c>
      <c r="I8" s="110">
        <v>145579000000</v>
      </c>
      <c r="J8" s="110">
        <v>53891000000</v>
      </c>
      <c r="K8" s="112">
        <v>64.8</v>
      </c>
      <c r="L8" s="112">
        <f t="shared" ref="L8:L32" si="136">K8/100</f>
        <v>0.64800000000000002</v>
      </c>
      <c r="M8" s="112">
        <f t="shared" ref="M8:M32" si="137">G8/K8</f>
        <v>437962962.96296299</v>
      </c>
      <c r="N8" s="112">
        <f t="shared" ref="N8:N33" si="138">I8/K8</f>
        <v>2246589506.1728396</v>
      </c>
      <c r="O8" s="112">
        <f t="shared" ref="O8:O35" si="139">I8/K8</f>
        <v>2246589506.1728396</v>
      </c>
      <c r="P8" s="112">
        <f t="shared" ref="P8:P35" si="140">G8/L8</f>
        <v>43796296296.296295</v>
      </c>
      <c r="Q8" s="112">
        <f t="shared" ref="Q8:Q35" si="141">H8/L8</f>
        <v>11131172839.506172</v>
      </c>
      <c r="R8" s="112">
        <f t="shared" ref="R8:R35" si="142">I8/L8</f>
        <v>224658950617.28394</v>
      </c>
      <c r="S8" s="115">
        <f t="shared" ref="S8:S33" si="143">SUM(P8:R8)</f>
        <v>279586419753.08643</v>
      </c>
      <c r="T8" s="112">
        <f t="shared" ref="T8:T34" si="144">J8/K8</f>
        <v>831651234.56790125</v>
      </c>
      <c r="U8" s="115">
        <f t="shared" ref="U8:U35" si="145">J8/L8</f>
        <v>83165123456.790115</v>
      </c>
      <c r="V8" s="116">
        <f t="shared" ref="V8:V35" si="146">F8+S8+U8</f>
        <v>994074864764.64685</v>
      </c>
      <c r="W8" s="117">
        <f t="shared" ref="W8:W35" si="147">B8+G8+H8+I8+J8</f>
        <v>592392000000</v>
      </c>
      <c r="X8" s="112">
        <v>56.006275000000002</v>
      </c>
      <c r="Y8" s="112">
        <f t="shared" ref="Y8:Y32" si="148">X8/100</f>
        <v>0.56006275000000005</v>
      </c>
      <c r="Z8" s="112">
        <f t="shared" ref="Z8:Z35" si="149">W8/Y8</f>
        <v>1057724335353.4938</v>
      </c>
      <c r="AA8" s="115">
        <v>0.27949999999999997</v>
      </c>
      <c r="AB8" s="115">
        <v>0.29449999999999998</v>
      </c>
      <c r="AC8" s="115">
        <f t="shared" ref="AC8:AC32" si="150">AA8+AB8</f>
        <v>0.57399999999999995</v>
      </c>
      <c r="AD8" s="118" t="e">
        <v>#DIV/0!</v>
      </c>
      <c r="AE8" s="115" t="e">
        <f t="shared" ref="AE8:AE32" si="151">AC8+AD8</f>
        <v>#DIV/0!</v>
      </c>
      <c r="AF8" s="115" t="e">
        <f t="shared" ref="AF8:AF32" si="152">1-AD8-AC8</f>
        <v>#DIV/0!</v>
      </c>
      <c r="AG8" s="119" t="e">
        <v>#DIV/0!</v>
      </c>
      <c r="AH8" s="119" t="e">
        <v>#DIV/0!</v>
      </c>
      <c r="AI8" s="119" t="e">
        <f t="shared" ref="AI8:AI32" si="153">AG8+AH8</f>
        <v>#DIV/0!</v>
      </c>
      <c r="AJ8" s="16">
        <v>2787000</v>
      </c>
      <c r="AK8" s="120">
        <v>19484000</v>
      </c>
      <c r="AL8" s="121">
        <f t="shared" ref="AL8:AL32" si="154">AJ8+AK8</f>
        <v>22271000</v>
      </c>
      <c r="AM8" s="122">
        <v>0.18843049999999995</v>
      </c>
      <c r="AN8" s="123">
        <f>AK8*AM8</f>
        <v>3671379.8619999988</v>
      </c>
      <c r="AO8" s="124">
        <v>0.81165703275529866</v>
      </c>
      <c r="AP8" s="123">
        <f t="shared" ref="AP8:AP32" si="155">AK8*AO8</f>
        <v>15814325.626204239</v>
      </c>
      <c r="AQ8" s="125">
        <v>0.50623265000000006</v>
      </c>
      <c r="AR8" s="123">
        <f t="shared" ref="AR8:AR32" si="156">AP8*AQ8</f>
        <v>8005727.9697162826</v>
      </c>
      <c r="AS8" s="123">
        <f t="shared" ref="AS8:AS32" si="157">AP8*(1-AQ8)</f>
        <v>7808597.6564879566</v>
      </c>
      <c r="AT8" s="115">
        <f t="shared" si="0"/>
        <v>423.86686959551383</v>
      </c>
      <c r="AU8" s="126">
        <v>0.57539459999999998</v>
      </c>
      <c r="AV8" s="123">
        <f t="shared" si="1"/>
        <v>2112492.1471435446</v>
      </c>
      <c r="AW8" s="123">
        <f t="shared" ref="AW8:AW32" si="158">AN8*(1-AU8)</f>
        <v>1558887.7148564544</v>
      </c>
      <c r="AX8" s="127">
        <f t="shared" ref="AX8:AY32" si="159">AR8+AV8</f>
        <v>10118220.116859827</v>
      </c>
      <c r="AY8" s="127">
        <f t="shared" si="159"/>
        <v>9367485.3713444117</v>
      </c>
      <c r="AZ8" s="16">
        <f t="shared" si="2"/>
        <v>46561602539.651672</v>
      </c>
      <c r="BA8" s="16">
        <f t="shared" si="3"/>
        <v>36603520917.138443</v>
      </c>
      <c r="BB8" s="16">
        <f t="shared" si="4"/>
        <v>176454868374.55826</v>
      </c>
      <c r="BC8" s="16">
        <f t="shared" si="5"/>
        <v>185924718197.87982</v>
      </c>
      <c r="BD8" s="17" t="e">
        <f t="shared" si="6"/>
        <v>#DIV/0!</v>
      </c>
      <c r="BE8" s="16" t="e">
        <f t="shared" ref="BE8:BE32" si="160">SUM(BB8:BD8)</f>
        <v>#DIV/0!</v>
      </c>
      <c r="BF8" s="117">
        <v>631323321554.77026</v>
      </c>
      <c r="BG8" s="116" t="e">
        <f t="shared" ref="BG8:BG32" si="161">BE8/BF8</f>
        <v>#DIV/0!</v>
      </c>
      <c r="BH8" s="115" t="e">
        <v>#DIV/0!</v>
      </c>
      <c r="BI8" s="17"/>
      <c r="BJ8" s="7" t="e">
        <f t="shared" ref="BJ8:BJ32" si="162">BF8*BH8</f>
        <v>#DIV/0!</v>
      </c>
      <c r="BK8" s="16">
        <f t="shared" ref="BK8:BK32" si="163">BB8+AZ8</f>
        <v>223016470914.20993</v>
      </c>
      <c r="BL8" s="112">
        <f t="shared" si="7"/>
        <v>28347.327087008678</v>
      </c>
      <c r="BM8" s="112" t="e">
        <f t="shared" si="8"/>
        <v>#DIV/0!</v>
      </c>
      <c r="BN8" s="115">
        <f t="shared" si="9"/>
        <v>22041.077218966722</v>
      </c>
      <c r="BO8" s="112">
        <f t="shared" ref="BO8:BQ32" si="164">BL8/52</f>
        <v>545.14090551939762</v>
      </c>
      <c r="BP8" s="112" t="e">
        <f t="shared" si="164"/>
        <v>#DIV/0!</v>
      </c>
      <c r="BQ8" s="115">
        <f t="shared" si="164"/>
        <v>423.86686959551389</v>
      </c>
      <c r="BR8" s="112">
        <f t="shared" si="10"/>
        <v>362751543209.87659</v>
      </c>
      <c r="BS8" s="115">
        <f t="shared" si="11"/>
        <v>771058393850.43689</v>
      </c>
      <c r="BT8" s="112">
        <f t="shared" si="12"/>
        <v>362751543209.87653</v>
      </c>
      <c r="BU8" s="115">
        <f t="shared" si="13"/>
        <v>502114658868.10468</v>
      </c>
      <c r="BV8" s="118" t="e">
        <f t="shared" si="14"/>
        <v>#DIV/0!</v>
      </c>
      <c r="BW8" s="112">
        <f t="shared" si="15"/>
        <v>44635.394224087235</v>
      </c>
      <c r="BX8" s="115">
        <f t="shared" si="16"/>
        <v>98246.020869642467</v>
      </c>
      <c r="BY8" s="128">
        <f t="shared" si="17"/>
        <v>0</v>
      </c>
      <c r="BZ8" s="119">
        <f t="shared" si="18"/>
        <v>909809050324.67529</v>
      </c>
      <c r="CA8" s="113">
        <v>38.200000000000003</v>
      </c>
      <c r="CB8" s="113">
        <v>14.9</v>
      </c>
      <c r="CC8" s="113">
        <v>9.1</v>
      </c>
      <c r="CD8" s="113">
        <v>16242095.418671632</v>
      </c>
      <c r="CE8" s="113">
        <v>5152988.306885194</v>
      </c>
      <c r="CF8" s="113">
        <v>1049621.5809888246</v>
      </c>
      <c r="CG8" s="113">
        <f t="shared" ref="CG8:CG35" si="165">CD8+CE8+CF8</f>
        <v>22444705.306545652</v>
      </c>
      <c r="CH8" s="113">
        <v>22271000</v>
      </c>
      <c r="CI8" s="113">
        <f t="shared" ref="CI8:CI34" si="166">CH8-CG8</f>
        <v>-173705.30654565245</v>
      </c>
      <c r="CJ8" s="122">
        <f t="shared" ref="CJ8:CJ35" si="167">CD8/CG8</f>
        <v>0.72364930600959487</v>
      </c>
      <c r="CK8" s="122">
        <f t="shared" ref="CK8:CK35" si="168">CE8/CG8</f>
        <v>0.22958591955236785</v>
      </c>
      <c r="CL8" s="122">
        <f t="shared" ref="CL8:CL35" si="169">CF8/CG8</f>
        <v>4.6764774438037227E-2</v>
      </c>
      <c r="CM8" s="129">
        <f t="shared" si="19"/>
        <v>31.489793138282945</v>
      </c>
      <c r="CN8" s="16">
        <v>831871805.79729843</v>
      </c>
      <c r="CO8" s="16">
        <f t="shared" si="20"/>
        <v>706779127.15284407</v>
      </c>
      <c r="CP8" s="130"/>
      <c r="CQ8" s="131"/>
      <c r="CR8" s="5">
        <v>34.04</v>
      </c>
      <c r="CS8" s="132">
        <v>41</v>
      </c>
      <c r="CT8" s="5">
        <f t="shared" si="21"/>
        <v>35.493115782648353</v>
      </c>
      <c r="CU8" s="5"/>
      <c r="CV8" s="5"/>
      <c r="CW8" s="133"/>
      <c r="CX8" s="134"/>
      <c r="CY8" s="5"/>
      <c r="CZ8" s="5">
        <f t="shared" ref="CZ8:CZ35" si="170">((CU8*AS8)+(CV8*AW8)+(CR8*AX8)+(CS8*AY8))/(AS8+AW8+AX8+AY8)</f>
        <v>25.24819929099603</v>
      </c>
      <c r="DA8" s="5"/>
      <c r="DB8" s="117">
        <f t="shared" ref="DB8:DC35" si="171">CZ8*52</f>
        <v>1312.9063631317936</v>
      </c>
      <c r="DC8" s="135"/>
      <c r="DD8" s="5">
        <f t="shared" si="22"/>
        <v>1845.6420206977143</v>
      </c>
      <c r="DE8" s="131">
        <f t="shared" si="23"/>
        <v>350084109.77348411</v>
      </c>
      <c r="DF8" s="5">
        <f t="shared" si="24"/>
        <v>272514980.08914226</v>
      </c>
      <c r="DG8" s="131">
        <f t="shared" si="25"/>
        <v>397912908.83642125</v>
      </c>
      <c r="DH8" s="5">
        <f t="shared" si="26"/>
        <v>86612178.032885328</v>
      </c>
      <c r="DI8" s="7"/>
      <c r="DJ8" s="136">
        <f t="shared" ref="DJ8:DJ35" si="172">(CU8*AS8)+(CV8*AW8)+(CP8*AJ8)+(CR8*AX8)+(CS8*AY8)</f>
        <v>728491113.00302935</v>
      </c>
      <c r="DK8" s="16">
        <f t="shared" si="27"/>
        <v>359127158.12202758</v>
      </c>
      <c r="DL8" s="7"/>
      <c r="DM8" s="136"/>
      <c r="DN8" s="16">
        <f t="shared" ref="DN8:DN35" si="173">DK8*52</f>
        <v>18674612222.345432</v>
      </c>
      <c r="DO8" s="117"/>
      <c r="DP8" s="135"/>
      <c r="DQ8" s="5">
        <f t="shared" si="28"/>
        <v>1845.6420206977141</v>
      </c>
      <c r="DR8" s="117" t="e">
        <f t="shared" si="29"/>
        <v>#DIV/0!</v>
      </c>
      <c r="DS8" s="135"/>
      <c r="DT8" s="5">
        <f t="shared" si="30"/>
        <v>53.231352433394534</v>
      </c>
      <c r="DU8" s="137" t="e">
        <f t="shared" si="31"/>
        <v>#DIV/0!</v>
      </c>
      <c r="DV8" s="138">
        <f t="shared" si="32"/>
        <v>38.829782441996109</v>
      </c>
      <c r="DW8" s="130" t="e">
        <f t="shared" si="33"/>
        <v>#DIV/0!</v>
      </c>
      <c r="DX8" s="137">
        <v>20.565715717054999</v>
      </c>
      <c r="DY8" s="138">
        <v>48.719033064366791</v>
      </c>
      <c r="DZ8" s="137" t="e">
        <f t="shared" si="34"/>
        <v>#DIV/0!</v>
      </c>
      <c r="EA8" s="138">
        <v>35.4865327721987</v>
      </c>
      <c r="EB8" s="130" t="e">
        <v>#DIV/0!</v>
      </c>
      <c r="EC8" s="139">
        <f t="shared" si="35"/>
        <v>0.57458916980371078</v>
      </c>
      <c r="ED8" s="140">
        <f t="shared" si="36"/>
        <v>3.4574055929126777</v>
      </c>
      <c r="EE8" s="139">
        <f t="shared" si="37"/>
        <v>0.57458916980371066</v>
      </c>
      <c r="EF8" s="141" t="e">
        <f t="shared" si="38"/>
        <v>#DIV/0!</v>
      </c>
      <c r="EG8" s="142">
        <f t="shared" si="39"/>
        <v>2.2514689467095832</v>
      </c>
      <c r="EH8" s="117">
        <f t="shared" si="40"/>
        <v>16.034785311106571</v>
      </c>
      <c r="EI8" s="117">
        <f t="shared" si="41"/>
        <v>9.2134139798894594</v>
      </c>
      <c r="EJ8" s="135" t="e">
        <f t="shared" si="42"/>
        <v>#DIV/0!</v>
      </c>
      <c r="EK8" s="135" t="e">
        <f t="shared" si="43"/>
        <v>#DIV/0!</v>
      </c>
      <c r="EL8" s="143">
        <f t="shared" si="44"/>
        <v>10.91602483811713</v>
      </c>
      <c r="EM8" s="143">
        <f t="shared" si="45"/>
        <v>24.577090944531221</v>
      </c>
      <c r="EN8" s="144">
        <f t="shared" si="46"/>
        <v>24.260296420533642</v>
      </c>
      <c r="EO8" s="145">
        <f t="shared" si="47"/>
        <v>13.939703579466361</v>
      </c>
      <c r="EP8" s="146">
        <f t="shared" si="48"/>
        <v>10.91602483811713</v>
      </c>
      <c r="EQ8" s="134">
        <f t="shared" si="49"/>
        <v>24.577090944531221</v>
      </c>
      <c r="ER8" s="130" t="e">
        <f t="shared" si="50"/>
        <v>#DIV/0!</v>
      </c>
      <c r="ES8" s="130" t="e">
        <f t="shared" si="51"/>
        <v>#DIV/0!</v>
      </c>
      <c r="ET8" s="117"/>
      <c r="EU8" s="135"/>
      <c r="EV8" s="5">
        <f t="shared" si="52"/>
        <v>23.883115782648353</v>
      </c>
      <c r="EW8" s="145">
        <f t="shared" si="53"/>
        <v>13.740000000000002</v>
      </c>
      <c r="EX8" s="134">
        <f t="shared" si="54"/>
        <v>23.827115782648352</v>
      </c>
      <c r="EY8" s="130">
        <f t="shared" si="55"/>
        <v>26.023115782648354</v>
      </c>
      <c r="EZ8" s="117"/>
      <c r="FA8" s="135"/>
      <c r="FB8" s="5">
        <f t="shared" ref="FB8:FB35" si="174">(EV8/11.61)*100</f>
        <v>205.71159158181183</v>
      </c>
      <c r="FC8" s="145">
        <f t="shared" si="56"/>
        <v>56.17334423548651</v>
      </c>
      <c r="FD8" s="134">
        <f t="shared" si="57"/>
        <v>204.24409208510502</v>
      </c>
      <c r="FE8" s="130">
        <f t="shared" si="58"/>
        <v>274.79530921487174</v>
      </c>
      <c r="FF8" s="117" t="e">
        <f t="shared" si="59"/>
        <v>#DIV/0!</v>
      </c>
      <c r="FG8" s="135" t="e">
        <f t="shared" ref="FG8:FG35" si="175">BL8/DC8</f>
        <v>#DIV/0!</v>
      </c>
      <c r="FH8" s="5">
        <f t="shared" si="60"/>
        <v>11.942227675675948</v>
      </c>
      <c r="FI8" s="145" t="e">
        <f t="shared" si="61"/>
        <v>#DIV/0!</v>
      </c>
      <c r="FJ8" s="134">
        <f t="shared" si="62"/>
        <v>11.942227675675948</v>
      </c>
      <c r="FK8" s="145" t="e">
        <f t="shared" si="63"/>
        <v>#DIV/0!</v>
      </c>
      <c r="FL8" s="134">
        <f t="shared" si="64"/>
        <v>11.942227675675948</v>
      </c>
      <c r="FM8" s="130">
        <v>10.97279888941992</v>
      </c>
      <c r="FN8" s="111">
        <v>64.2</v>
      </c>
      <c r="FO8" s="147" t="e">
        <f t="shared" si="65"/>
        <v>#DIV/0!</v>
      </c>
      <c r="FP8" s="148" t="e">
        <f t="shared" si="66"/>
        <v>#DIV/0!</v>
      </c>
      <c r="FQ8" s="149">
        <f t="shared" si="67"/>
        <v>1.2060561504675265</v>
      </c>
      <c r="FR8" s="150" t="e">
        <f t="shared" si="68"/>
        <v>#DIV/0!</v>
      </c>
      <c r="FS8" s="151" t="e">
        <f t="shared" si="68"/>
        <v>#DIV/0!</v>
      </c>
      <c r="FT8" s="122">
        <f t="shared" si="68"/>
        <v>1.8785921346846205E-2</v>
      </c>
      <c r="FU8" s="152" t="e">
        <f t="shared" si="69"/>
        <v>#DIV/0!</v>
      </c>
      <c r="FV8" s="140">
        <f t="shared" si="70"/>
        <v>0.91406939597634718</v>
      </c>
      <c r="FW8" s="153" t="e">
        <f t="shared" si="71"/>
        <v>#DIV/0!</v>
      </c>
      <c r="FX8" s="152">
        <f t="shared" si="72"/>
        <v>2.0314716047448389</v>
      </c>
      <c r="FY8" s="140">
        <f t="shared" si="73"/>
        <v>0.66677088144733754</v>
      </c>
      <c r="FZ8" s="140">
        <f t="shared" ref="FZ8:GA33" si="176">FV8*52</f>
        <v>47.531608590770055</v>
      </c>
      <c r="GA8" s="153" t="e">
        <f t="shared" si="176"/>
        <v>#DIV/0!</v>
      </c>
      <c r="GB8" s="152" t="e">
        <f t="shared" si="74"/>
        <v>#DIV/0!</v>
      </c>
      <c r="GC8" s="154">
        <f t="shared" si="75"/>
        <v>1.8785921346846202E-2</v>
      </c>
      <c r="GD8" s="152" t="e">
        <f t="shared" si="76"/>
        <v>#DIV/0!</v>
      </c>
      <c r="GE8" s="154">
        <f t="shared" si="77"/>
        <v>2.5753427835806163E-2</v>
      </c>
      <c r="GF8" s="155" t="e">
        <f t="shared" si="78"/>
        <v>#DIV/0!</v>
      </c>
      <c r="GG8" s="152" t="e">
        <f t="shared" si="79"/>
        <v>#DIV/0!</v>
      </c>
      <c r="GH8" s="134">
        <f t="shared" si="80"/>
        <v>35.493115782648353</v>
      </c>
      <c r="GI8" s="130" t="e">
        <f t="shared" si="81"/>
        <v>#DIV/0!</v>
      </c>
      <c r="GJ8" s="152" t="e">
        <f t="shared" si="82"/>
        <v>#DIV/0!</v>
      </c>
      <c r="GK8" s="154">
        <f t="shared" si="82"/>
        <v>0.91523192324159397</v>
      </c>
      <c r="GL8" s="152" t="e">
        <f t="shared" si="82"/>
        <v>#DIV/0!</v>
      </c>
      <c r="GM8" s="154">
        <f t="shared" si="82"/>
        <v>0.91389986089178965</v>
      </c>
      <c r="GN8" s="154" t="e">
        <f t="shared" si="82"/>
        <v>#DIV/0!</v>
      </c>
      <c r="GO8" s="112" t="e">
        <f t="shared" ref="GO8:GQ33" si="177">FF8/DR8</f>
        <v>#DIV/0!</v>
      </c>
      <c r="GP8" s="156" t="e">
        <f t="shared" si="177"/>
        <v>#DIV/0!</v>
      </c>
      <c r="GQ8" s="115">
        <f t="shared" si="177"/>
        <v>0.22434574982137831</v>
      </c>
      <c r="GR8" s="117"/>
      <c r="GS8" s="135" t="e">
        <f t="shared" ref="GS8:GT35" si="178">GP8*DP8</f>
        <v>#DIV/0!</v>
      </c>
      <c r="GT8" s="5">
        <f t="shared" si="178"/>
        <v>414.06194303527252</v>
      </c>
      <c r="GU8" s="130" t="e">
        <f t="shared" si="83"/>
        <v>#DIV/0!</v>
      </c>
      <c r="GV8" s="145" t="e">
        <f t="shared" si="84"/>
        <v>#DIV/0!</v>
      </c>
      <c r="GW8" s="134">
        <f t="shared" si="85"/>
        <v>452.41204171368531</v>
      </c>
      <c r="GX8" s="157" t="e">
        <f t="shared" ref="GX8:GX35" si="179">FF8*GB8</f>
        <v>#DIV/0!</v>
      </c>
      <c r="GY8" s="154">
        <f t="shared" si="86"/>
        <v>0.22434574982137828</v>
      </c>
      <c r="GZ8" s="157" t="e">
        <f t="shared" si="86"/>
        <v>#DIV/0!</v>
      </c>
      <c r="HA8" s="154">
        <f t="shared" si="86"/>
        <v>0.30755329864428771</v>
      </c>
      <c r="HB8" s="155" t="e">
        <f t="shared" si="86"/>
        <v>#DIV/0!</v>
      </c>
      <c r="HC8" s="157" t="e">
        <f t="shared" si="87"/>
        <v>#DIV/0!</v>
      </c>
      <c r="HD8" s="154">
        <f t="shared" si="88"/>
        <v>0.24512448060900699</v>
      </c>
      <c r="HE8" s="144">
        <v>64.2</v>
      </c>
      <c r="HF8" s="146"/>
      <c r="HG8" s="158">
        <f t="shared" si="89"/>
        <v>104.71342014793788</v>
      </c>
      <c r="HH8" s="2">
        <f t="shared" si="90"/>
        <v>65.555132097737413</v>
      </c>
      <c r="HI8" s="2">
        <f t="shared" si="91"/>
        <v>67.54702331297257</v>
      </c>
      <c r="HJ8" s="2">
        <f t="shared" si="92"/>
        <v>100.26246719160106</v>
      </c>
      <c r="HK8" s="2">
        <f t="shared" si="93"/>
        <v>113.49214585123342</v>
      </c>
      <c r="HL8" s="2" t="e">
        <f t="shared" ref="HL8:HL33" si="180">100*(GX8/0.642)</f>
        <v>#DIV/0!</v>
      </c>
      <c r="HM8" s="2" t="e">
        <f t="shared" si="94"/>
        <v>#DIV/0!</v>
      </c>
      <c r="HN8" s="2">
        <f t="shared" si="95"/>
        <v>103.04499019094182</v>
      </c>
      <c r="HO8" s="2">
        <f t="shared" ref="HO8:HO33" si="181">100*(ET8/13.64)</f>
        <v>0</v>
      </c>
      <c r="HP8" s="2" t="e">
        <f t="shared" si="96"/>
        <v>#DIV/0!</v>
      </c>
      <c r="HQ8" s="2" t="e">
        <f t="shared" ref="HQ8:HQ33" si="182">100*(GJ8/1.17499)</f>
        <v>#DIV/0!</v>
      </c>
      <c r="HR8" s="159">
        <f t="shared" si="97"/>
        <v>109.23550014432016</v>
      </c>
      <c r="HS8" s="12">
        <f t="shared" si="98"/>
        <v>127.37485225340875</v>
      </c>
      <c r="HT8" s="12">
        <f t="shared" si="99"/>
        <v>84.924294901628258</v>
      </c>
      <c r="HU8" s="12">
        <f t="shared" si="100"/>
        <v>94.62307593348001</v>
      </c>
      <c r="HV8" s="12">
        <f t="shared" si="101"/>
        <v>110.95212161130812</v>
      </c>
      <c r="HW8" s="12">
        <f t="shared" ref="HW8:HW33" si="183">100*(GY8/0.2284)</f>
        <v>98.224934247538656</v>
      </c>
      <c r="HX8" s="12">
        <f t="shared" si="102"/>
        <v>117.31068443689536</v>
      </c>
      <c r="HY8" s="12">
        <f t="shared" si="103"/>
        <v>102.31856175719514</v>
      </c>
      <c r="HZ8" s="12">
        <f t="shared" si="104"/>
        <v>82.526315765889251</v>
      </c>
      <c r="IA8" s="12">
        <f t="shared" si="105"/>
        <v>85.925915536301403</v>
      </c>
      <c r="IB8" s="12">
        <f t="shared" ref="IB8:IB33" si="184">100*(GK8/1)</f>
        <v>91.523192324159396</v>
      </c>
      <c r="IC8" s="158" t="e">
        <f t="shared" si="106"/>
        <v>#DIV/0!</v>
      </c>
      <c r="ID8" s="2">
        <f t="shared" si="107"/>
        <v>99.179495607430781</v>
      </c>
      <c r="IE8" s="2">
        <f t="shared" si="108"/>
        <v>102.19724031866832</v>
      </c>
      <c r="IF8" s="2">
        <f t="shared" si="109"/>
        <v>100.26246719160106</v>
      </c>
      <c r="IG8" s="2" t="e">
        <f t="shared" si="110"/>
        <v>#DIV/0!</v>
      </c>
      <c r="IH8" s="2" t="e">
        <f t="shared" ref="IH8:IH33" si="185">100*(GZ8/0.642)</f>
        <v>#DIV/0!</v>
      </c>
      <c r="II8" s="2" t="e">
        <f t="shared" si="111"/>
        <v>#DIV/0!</v>
      </c>
      <c r="IJ8" s="2">
        <f t="shared" si="112"/>
        <v>103.0449901909418</v>
      </c>
      <c r="IK8" s="2">
        <f t="shared" si="113"/>
        <v>100.73313782991202</v>
      </c>
      <c r="IL8" s="2" t="e">
        <f t="shared" si="114"/>
        <v>#DIV/0!</v>
      </c>
      <c r="IM8" s="2" t="e">
        <f t="shared" ref="IM8:IM33" si="186">100*(GL8/1)</f>
        <v>#DIV/0!</v>
      </c>
      <c r="IN8" s="159">
        <f t="shared" si="115"/>
        <v>108.35582525862198</v>
      </c>
      <c r="IO8" s="12">
        <f t="shared" si="116"/>
        <v>93.57127411381046</v>
      </c>
      <c r="IP8" s="12">
        <f t="shared" si="117"/>
        <v>95.112581054687396</v>
      </c>
      <c r="IQ8" s="12">
        <f t="shared" si="118"/>
        <v>94.62307593348001</v>
      </c>
      <c r="IR8" s="12">
        <f t="shared" si="119"/>
        <v>110.95212161130812</v>
      </c>
      <c r="IS8" s="12">
        <f t="shared" ref="IS8:IS33" si="187">100*(HA8/0.311)</f>
        <v>98.891735898484797</v>
      </c>
      <c r="IT8" s="12">
        <f t="shared" si="120"/>
        <v>117.31068443689536</v>
      </c>
      <c r="IU8" s="12">
        <f t="shared" si="121"/>
        <v>101.64002937555112</v>
      </c>
      <c r="IV8" s="12">
        <f t="shared" si="122"/>
        <v>92.210200397245941</v>
      </c>
      <c r="IW8" s="12">
        <f t="shared" si="123"/>
        <v>84.437468314118576</v>
      </c>
      <c r="IX8" s="12">
        <f t="shared" ref="IX8:IX33" si="188">100*(GM8/1)</f>
        <v>91.389986089178961</v>
      </c>
      <c r="IY8" s="160" t="e">
        <f t="shared" si="124"/>
        <v>#DIV/0!</v>
      </c>
      <c r="IZ8" s="25" t="e">
        <f t="shared" si="125"/>
        <v>#DIV/0!</v>
      </c>
      <c r="JA8" s="25" t="e">
        <f t="shared" si="126"/>
        <v>#DIV/0!</v>
      </c>
      <c r="JB8" s="25">
        <f t="shared" si="127"/>
        <v>94.62307593348001</v>
      </c>
      <c r="JC8" s="25">
        <f t="shared" si="128"/>
        <v>110.95212161130812</v>
      </c>
      <c r="JD8" s="25" t="e">
        <f t="shared" ref="JD8:JD33" si="189">100*(HB8/0.2525)</f>
        <v>#DIV/0!</v>
      </c>
      <c r="JE8" s="25">
        <f t="shared" si="129"/>
        <v>107.78780834400708</v>
      </c>
      <c r="JF8" s="25" t="e">
        <f t="shared" si="130"/>
        <v>#DIV/0!</v>
      </c>
      <c r="JG8" s="25">
        <f t="shared" si="131"/>
        <v>92.807117627133934</v>
      </c>
      <c r="JH8" s="25" t="e">
        <f t="shared" si="132"/>
        <v>#DIV/0!</v>
      </c>
      <c r="JI8" s="25" t="e">
        <f t="shared" ref="JI8:JI33" si="190">100*(GN8/1)</f>
        <v>#DIV/0!</v>
      </c>
    </row>
    <row r="9" spans="1:269" x14ac:dyDescent="0.35">
      <c r="A9" s="109">
        <v>1994</v>
      </c>
      <c r="B9" s="110">
        <v>370101000000</v>
      </c>
      <c r="C9" s="111">
        <v>56.5</v>
      </c>
      <c r="D9" s="112">
        <f t="shared" si="133"/>
        <v>0.56499999999999995</v>
      </c>
      <c r="E9" s="111">
        <f t="shared" si="134"/>
        <v>6550460176.9911509</v>
      </c>
      <c r="F9" s="113">
        <f t="shared" si="135"/>
        <v>655046017699.11511</v>
      </c>
      <c r="G9" s="114">
        <v>30532000000</v>
      </c>
      <c r="H9" s="110">
        <v>7640000000</v>
      </c>
      <c r="I9" s="110">
        <v>159340000000</v>
      </c>
      <c r="J9" s="110">
        <v>56040000000</v>
      </c>
      <c r="K9" s="112">
        <v>66.7</v>
      </c>
      <c r="L9" s="112">
        <f t="shared" si="136"/>
        <v>0.66700000000000004</v>
      </c>
      <c r="M9" s="112">
        <f t="shared" si="137"/>
        <v>457751124.4377811</v>
      </c>
      <c r="N9" s="112">
        <f t="shared" si="138"/>
        <v>2388905547.2263865</v>
      </c>
      <c r="O9" s="112">
        <f t="shared" si="139"/>
        <v>2388905547.2263865</v>
      </c>
      <c r="P9" s="112">
        <f t="shared" si="140"/>
        <v>45775112443.778107</v>
      </c>
      <c r="Q9" s="112">
        <f t="shared" si="141"/>
        <v>11454272863.568214</v>
      </c>
      <c r="R9" s="112">
        <f t="shared" si="142"/>
        <v>238890554722.63867</v>
      </c>
      <c r="S9" s="115">
        <f t="shared" si="143"/>
        <v>296119940029.98499</v>
      </c>
      <c r="T9" s="112">
        <f t="shared" si="144"/>
        <v>840179910.04497743</v>
      </c>
      <c r="U9" s="115">
        <f t="shared" si="145"/>
        <v>84017991004.497742</v>
      </c>
      <c r="V9" s="116">
        <f t="shared" si="146"/>
        <v>1035183948733.5979</v>
      </c>
      <c r="W9" s="117">
        <f t="shared" si="147"/>
        <v>623653000000</v>
      </c>
      <c r="X9" s="112">
        <v>56.832574999999999</v>
      </c>
      <c r="Y9" s="112">
        <f t="shared" si="148"/>
        <v>0.56832574999999996</v>
      </c>
      <c r="Z9" s="112">
        <f t="shared" si="149"/>
        <v>1097351298968.9453</v>
      </c>
      <c r="AA9" s="115">
        <v>0.27600000000000002</v>
      </c>
      <c r="AB9" s="115">
        <v>0.28599999999999998</v>
      </c>
      <c r="AC9" s="115">
        <f t="shared" si="150"/>
        <v>0.56200000000000006</v>
      </c>
      <c r="AD9" s="118">
        <v>0.29386422540948348</v>
      </c>
      <c r="AE9" s="115">
        <f>AC9+AD9</f>
        <v>0.85586422540948348</v>
      </c>
      <c r="AF9" s="115">
        <f>1-AD9-AC9</f>
        <v>0.14413577459051652</v>
      </c>
      <c r="AG9" s="119">
        <v>0.27070431661322603</v>
      </c>
      <c r="AH9" s="119">
        <v>0.28494390040797246</v>
      </c>
      <c r="AI9" s="119">
        <f t="shared" si="153"/>
        <v>0.55564821702119849</v>
      </c>
      <c r="AJ9" s="16">
        <v>2752000</v>
      </c>
      <c r="AK9" s="120">
        <v>19869000</v>
      </c>
      <c r="AL9" s="121">
        <f t="shared" si="154"/>
        <v>22621000</v>
      </c>
      <c r="AM9" s="122">
        <v>0.1945038</v>
      </c>
      <c r="AN9" s="123">
        <f t="shared" ref="AN9:AN32" si="191">AK9*AM9</f>
        <v>3864596.0022</v>
      </c>
      <c r="AO9" s="124">
        <v>0.81224391419619191</v>
      </c>
      <c r="AP9" s="123">
        <f t="shared" si="155"/>
        <v>16138474.331164137</v>
      </c>
      <c r="AQ9" s="125">
        <v>0.51027169999999999</v>
      </c>
      <c r="AR9" s="123">
        <f t="shared" si="156"/>
        <v>8235006.7323694872</v>
      </c>
      <c r="AS9" s="123">
        <f t="shared" si="157"/>
        <v>7903467.5987946494</v>
      </c>
      <c r="AT9" s="115">
        <f t="shared" si="0"/>
        <v>422.19549082574775</v>
      </c>
      <c r="AU9" s="126">
        <v>0.57260270000000002</v>
      </c>
      <c r="AV9" s="123">
        <f t="shared" si="1"/>
        <v>2212878.1052689259</v>
      </c>
      <c r="AW9" s="123">
        <f t="shared" si="158"/>
        <v>1651717.8969310741</v>
      </c>
      <c r="AX9" s="127">
        <f t="shared" si="159"/>
        <v>10447884.837638414</v>
      </c>
      <c r="AY9" s="127">
        <f t="shared" si="159"/>
        <v>9555185.495725723</v>
      </c>
      <c r="AZ9" s="16">
        <f t="shared" si="2"/>
        <v>48581892205.161369</v>
      </c>
      <c r="BA9" s="16">
        <f t="shared" si="3"/>
        <v>35436098799.336372</v>
      </c>
      <c r="BB9" s="16">
        <f t="shared" si="4"/>
        <v>180792700884.95578</v>
      </c>
      <c r="BC9" s="16">
        <f t="shared" si="5"/>
        <v>187343161061.9469</v>
      </c>
      <c r="BD9" s="17">
        <f t="shared" si="6"/>
        <v>192494590598.71725</v>
      </c>
      <c r="BE9" s="16">
        <f t="shared" si="160"/>
        <v>560630452545.62</v>
      </c>
      <c r="BF9" s="117">
        <v>655046017699.11511</v>
      </c>
      <c r="BG9" s="116">
        <f t="shared" si="161"/>
        <v>0.85586422540948348</v>
      </c>
      <c r="BH9" s="115">
        <v>0.85586422540948348</v>
      </c>
      <c r="BI9" s="17">
        <v>17037930.709742635</v>
      </c>
      <c r="BJ9" s="7">
        <f t="shared" si="162"/>
        <v>560630452545.62</v>
      </c>
      <c r="BK9" s="16">
        <f t="shared" si="163"/>
        <v>229374593090.11716</v>
      </c>
      <c r="BL9" s="112">
        <f t="shared" si="7"/>
        <v>28957.429720132404</v>
      </c>
      <c r="BM9" s="112">
        <f t="shared" si="8"/>
        <v>24783.628157270676</v>
      </c>
      <c r="BN9" s="115">
        <f t="shared" si="9"/>
        <v>21954.165522938882</v>
      </c>
      <c r="BO9" s="112">
        <f t="shared" si="164"/>
        <v>556.87364846408468</v>
      </c>
      <c r="BP9" s="112">
        <f t="shared" si="164"/>
        <v>476.60823379366684</v>
      </c>
      <c r="BQ9" s="115">
        <f t="shared" si="164"/>
        <v>422.1954908257477</v>
      </c>
      <c r="BR9" s="112">
        <f t="shared" si="10"/>
        <v>380137931034.48279</v>
      </c>
      <c r="BS9" s="115">
        <f t="shared" si="11"/>
        <v>805809355643.48071</v>
      </c>
      <c r="BT9" s="112">
        <f t="shared" si="12"/>
        <v>380137931034.48273</v>
      </c>
      <c r="BU9" s="115">
        <f t="shared" si="13"/>
        <v>518899199891.26825</v>
      </c>
      <c r="BV9" s="118">
        <f t="shared" si="14"/>
        <v>711393790489.98547</v>
      </c>
      <c r="BW9" s="112">
        <f t="shared" si="15"/>
        <v>45762.077217346618</v>
      </c>
      <c r="BX9" s="115">
        <f t="shared" si="16"/>
        <v>99080.719669148413</v>
      </c>
      <c r="BY9" s="128">
        <f t="shared" si="17"/>
        <v>900940215906.56653</v>
      </c>
      <c r="BZ9" s="119">
        <f t="shared" si="18"/>
        <v>948468091241.25415</v>
      </c>
      <c r="CA9" s="113">
        <v>38.5</v>
      </c>
      <c r="CB9" s="113">
        <v>14.9</v>
      </c>
      <c r="CC9" s="113">
        <v>9.1999999999999993</v>
      </c>
      <c r="CD9" s="113">
        <v>16233444.327016853</v>
      </c>
      <c r="CE9" s="113">
        <v>5278742.0476709316</v>
      </c>
      <c r="CF9" s="113">
        <v>1165579.1950717538</v>
      </c>
      <c r="CG9" s="113">
        <f t="shared" si="165"/>
        <v>22677765.569759537</v>
      </c>
      <c r="CH9" s="113">
        <v>22621000</v>
      </c>
      <c r="CI9" s="113">
        <f t="shared" si="166"/>
        <v>-56765.569759536535</v>
      </c>
      <c r="CJ9" s="122">
        <f t="shared" si="167"/>
        <v>0.71583085542889247</v>
      </c>
      <c r="CK9" s="122">
        <f t="shared" si="168"/>
        <v>0.23277170016741225</v>
      </c>
      <c r="CL9" s="122">
        <f t="shared" si="169"/>
        <v>5.1397444403695411E-2</v>
      </c>
      <c r="CM9" s="129">
        <f t="shared" si="19"/>
        <v>31.500642755020802</v>
      </c>
      <c r="CN9" s="16">
        <v>841883870.94359338</v>
      </c>
      <c r="CO9" s="16">
        <f t="shared" si="20"/>
        <v>714364191.69510591</v>
      </c>
      <c r="CP9" s="130">
        <v>31.79</v>
      </c>
      <c r="CQ9" s="131">
        <f t="shared" ref="CQ9:CQ32" si="192">2*CM9-CP9</f>
        <v>31.211285510041606</v>
      </c>
      <c r="CR9" s="5">
        <v>33.97</v>
      </c>
      <c r="CS9" s="132">
        <v>41.31</v>
      </c>
      <c r="CT9" s="5">
        <f t="shared" si="21"/>
        <v>35.524623308457649</v>
      </c>
      <c r="CU9" s="5">
        <v>32.11</v>
      </c>
      <c r="CV9" s="5">
        <v>46.95</v>
      </c>
      <c r="CW9" s="133"/>
      <c r="CX9" s="134">
        <v>35.26</v>
      </c>
      <c r="CY9" s="5">
        <f t="shared" ref="CY9:CY35" si="193">((CU9*AS9)+(CV9*AW9)+(CP9*AJ9))/(AS9+AW9+AJ9)</f>
        <v>34.030085920429499</v>
      </c>
      <c r="CZ9" s="5">
        <f t="shared" si="170"/>
        <v>36.570759346273007</v>
      </c>
      <c r="DA9" s="5">
        <f t="shared" ref="DA9:DA35" si="194">((CU9*AS9)+(CV9*AW9)+(CP9*AJ9)+(CR9*AX9)+(CS9*AY9))/(AS9+AW9+AJ9+AX9+AY9)</f>
        <v>36.163562021976432</v>
      </c>
      <c r="DB9" s="117">
        <f t="shared" si="171"/>
        <v>1901.6794860061964</v>
      </c>
      <c r="DC9" s="135">
        <f>DA9*52</f>
        <v>1880.5052251427744</v>
      </c>
      <c r="DD9" s="5">
        <f t="shared" si="22"/>
        <v>1847.2804120397977</v>
      </c>
      <c r="DE9" s="131">
        <f t="shared" si="23"/>
        <v>360169534.04882807</v>
      </c>
      <c r="DF9" s="5">
        <f t="shared" si="24"/>
        <v>279743178.69859147</v>
      </c>
      <c r="DG9" s="131">
        <f t="shared" si="25"/>
        <v>404165168.58391505</v>
      </c>
      <c r="DH9" s="5">
        <f t="shared" si="26"/>
        <v>91413994.528659329</v>
      </c>
      <c r="DI9" s="7">
        <f t="shared" ref="DI9:DI35" si="195">AL9*CZ9</f>
        <v>827267147.17204165</v>
      </c>
      <c r="DJ9" s="136">
        <f t="shared" si="172"/>
        <v>1168453940.6212165</v>
      </c>
      <c r="DK9" s="16">
        <f t="shared" si="27"/>
        <v>371157173.22725081</v>
      </c>
      <c r="DL9" s="7">
        <f t="shared" ref="DL9:DM35" si="196">DI9*52</f>
        <v>43017891652.946167</v>
      </c>
      <c r="DM9" s="136">
        <f t="shared" si="196"/>
        <v>60759604912.303261</v>
      </c>
      <c r="DN9" s="16">
        <f t="shared" si="173"/>
        <v>19300173007.817043</v>
      </c>
      <c r="DO9" s="117">
        <f t="shared" ref="DO9:DO35" si="197">DL9/AL9</f>
        <v>1901.6794860061964</v>
      </c>
      <c r="DP9" s="135">
        <f t="shared" ref="DP9:DP35" si="198">DM9/(AS9+AW9+AJ9+AX9+AY9)</f>
        <v>1880.5052251427744</v>
      </c>
      <c r="DQ9" s="5">
        <f t="shared" si="28"/>
        <v>1847.2804120397977</v>
      </c>
      <c r="DR9" s="117">
        <f t="shared" si="29"/>
        <v>24.0640326375154</v>
      </c>
      <c r="DS9" s="135">
        <f t="shared" ref="DS9:DS35" si="199">V9/DM9</f>
        <v>17.037371296731106</v>
      </c>
      <c r="DT9" s="5">
        <f t="shared" si="30"/>
        <v>53.635993227331333</v>
      </c>
      <c r="DU9" s="137">
        <f t="shared" si="31"/>
        <v>20.595544653535651</v>
      </c>
      <c r="DV9" s="138">
        <f t="shared" si="32"/>
        <v>38.770315306412861</v>
      </c>
      <c r="DW9" s="130">
        <f t="shared" si="33"/>
        <v>48.744038884991774</v>
      </c>
      <c r="DX9" s="137">
        <v>20.94338381748339</v>
      </c>
      <c r="DY9" s="138">
        <v>49.142983892273989</v>
      </c>
      <c r="DZ9" s="137">
        <f t="shared" si="34"/>
        <v>24.0640326375154</v>
      </c>
      <c r="EA9" s="138">
        <v>35.466057330371065</v>
      </c>
      <c r="EB9" s="130">
        <v>44.642220412782002</v>
      </c>
      <c r="EC9" s="139">
        <f t="shared" si="35"/>
        <v>0.58032248233450534</v>
      </c>
      <c r="ED9" s="140">
        <f t="shared" si="36"/>
        <v>3.5130715428752506</v>
      </c>
      <c r="EE9" s="139">
        <f t="shared" si="37"/>
        <v>0.58032248233450523</v>
      </c>
      <c r="EF9" s="141">
        <f t="shared" si="38"/>
        <v>3.1014498201659659</v>
      </c>
      <c r="EG9" s="142">
        <f t="shared" si="39"/>
        <v>2.262234857403767</v>
      </c>
      <c r="EH9" s="117">
        <f t="shared" si="40"/>
        <v>23.141327010832281</v>
      </c>
      <c r="EI9" s="117">
        <f t="shared" si="41"/>
        <v>13.429432335440726</v>
      </c>
      <c r="EJ9" s="135">
        <f t="shared" si="42"/>
        <v>8.8172630673592067</v>
      </c>
      <c r="EK9" s="135">
        <f t="shared" si="43"/>
        <v>27.346298954617225</v>
      </c>
      <c r="EL9" s="143">
        <f t="shared" si="44"/>
        <v>10.889658427820779</v>
      </c>
      <c r="EM9" s="143">
        <f t="shared" si="45"/>
        <v>24.634964880636872</v>
      </c>
      <c r="EN9" s="144">
        <f t="shared" si="46"/>
        <v>24.362116232837813</v>
      </c>
      <c r="EO9" s="145">
        <f t="shared" si="47"/>
        <v>14.137883767162187</v>
      </c>
      <c r="EP9" s="146">
        <f t="shared" si="48"/>
        <v>10.889658427820779</v>
      </c>
      <c r="EQ9" s="134">
        <f t="shared" si="49"/>
        <v>24.634964880636872</v>
      </c>
      <c r="ER9" s="130">
        <f t="shared" si="50"/>
        <v>8.6614794441201131</v>
      </c>
      <c r="ES9" s="130">
        <f t="shared" si="51"/>
        <v>26.863143864337538</v>
      </c>
      <c r="ET9" s="117">
        <f t="shared" ref="ET9:ET35" si="200">CZ9-24.52</f>
        <v>12.050759346273008</v>
      </c>
      <c r="EU9" s="135">
        <f t="shared" ref="EU9:EU35" si="201">DA9-9.49</f>
        <v>26.67356202197643</v>
      </c>
      <c r="EV9" s="5">
        <f t="shared" si="52"/>
        <v>23.914623308457649</v>
      </c>
      <c r="EW9" s="145">
        <f t="shared" si="53"/>
        <v>14.04</v>
      </c>
      <c r="EX9" s="134">
        <f t="shared" si="54"/>
        <v>23.858623308457648</v>
      </c>
      <c r="EY9" s="130">
        <f t="shared" si="55"/>
        <v>26.05462330845765</v>
      </c>
      <c r="EZ9" s="117">
        <f t="shared" ref="EZ9:EZ35" si="202">100*(ET9/24.52)</f>
        <v>49.146653125093835</v>
      </c>
      <c r="FA9" s="135">
        <f t="shared" ref="FA9:FA35" si="203">100*(EU9/9.49)</f>
        <v>281.07020044232274</v>
      </c>
      <c r="FB9" s="5">
        <f t="shared" si="174"/>
        <v>205.9829742330547</v>
      </c>
      <c r="FC9" s="145">
        <f t="shared" si="56"/>
        <v>57.399836467702372</v>
      </c>
      <c r="FD9" s="134">
        <f t="shared" si="57"/>
        <v>204.5141720251813</v>
      </c>
      <c r="FE9" s="130">
        <f t="shared" si="58"/>
        <v>275.12801804073547</v>
      </c>
      <c r="FF9" s="117">
        <f t="shared" si="59"/>
        <v>13.032494876052906</v>
      </c>
      <c r="FG9" s="135">
        <f t="shared" si="175"/>
        <v>15.39874993856178</v>
      </c>
      <c r="FH9" s="5">
        <f t="shared" si="60"/>
        <v>11.884587407440069</v>
      </c>
      <c r="FI9" s="145">
        <f t="shared" si="61"/>
        <v>13.032494876052906</v>
      </c>
      <c r="FJ9" s="134">
        <f t="shared" si="62"/>
        <v>11.884587407440069</v>
      </c>
      <c r="FK9" s="145">
        <f t="shared" si="63"/>
        <v>15.227292471323452</v>
      </c>
      <c r="FL9" s="134">
        <f t="shared" si="64"/>
        <v>11.884587407440069</v>
      </c>
      <c r="FM9" s="130">
        <v>10.934222445472663</v>
      </c>
      <c r="FN9" s="111">
        <v>65.5</v>
      </c>
      <c r="FO9" s="147">
        <f t="shared" si="65"/>
        <v>2.7219045530168815</v>
      </c>
      <c r="FP9" s="148">
        <f t="shared" si="66"/>
        <v>3.8444897900750234</v>
      </c>
      <c r="FQ9" s="149">
        <f t="shared" si="67"/>
        <v>1.2211948741656398</v>
      </c>
      <c r="FR9" s="150">
        <f t="shared" si="68"/>
        <v>4.1555794702547805E-2</v>
      </c>
      <c r="FS9" s="151">
        <f t="shared" si="68"/>
        <v>5.8694500611832422E-2</v>
      </c>
      <c r="FT9" s="122">
        <f t="shared" si="68"/>
        <v>1.8644196552147174E-2</v>
      </c>
      <c r="FU9" s="152">
        <f t="shared" si="69"/>
        <v>1.5998980960480906</v>
      </c>
      <c r="FV9" s="140">
        <f t="shared" si="70"/>
        <v>0.91628409590420967</v>
      </c>
      <c r="FW9" s="153">
        <f t="shared" si="71"/>
        <v>0.72879933877197922</v>
      </c>
      <c r="FX9" s="152">
        <f t="shared" si="72"/>
        <v>2.0498916283443274</v>
      </c>
      <c r="FY9" s="140">
        <f t="shared" si="73"/>
        <v>0.66232805940387329</v>
      </c>
      <c r="FZ9" s="140">
        <f t="shared" si="176"/>
        <v>47.646772987018906</v>
      </c>
      <c r="GA9" s="153">
        <f t="shared" si="176"/>
        <v>37.89756561614292</v>
      </c>
      <c r="GB9" s="152">
        <f t="shared" si="74"/>
        <v>4.8554190569965301E-2</v>
      </c>
      <c r="GC9" s="154">
        <f t="shared" si="75"/>
        <v>1.8644196552147177E-2</v>
      </c>
      <c r="GD9" s="152">
        <f t="shared" si="76"/>
        <v>4.1555794702547812E-2</v>
      </c>
      <c r="GE9" s="154">
        <f t="shared" si="77"/>
        <v>2.5792929257776594E-2</v>
      </c>
      <c r="GF9" s="155">
        <f t="shared" si="78"/>
        <v>2.2298450872592322E-2</v>
      </c>
      <c r="GG9" s="152">
        <f t="shared" si="79"/>
        <v>244.76955063877944</v>
      </c>
      <c r="GH9" s="134">
        <f t="shared" si="80"/>
        <v>35.524623308457649</v>
      </c>
      <c r="GI9" s="130">
        <f t="shared" si="81"/>
        <v>35.524623308457649</v>
      </c>
      <c r="GJ9" s="152">
        <f t="shared" si="82"/>
        <v>1.0168890490540159</v>
      </c>
      <c r="GK9" s="154">
        <f t="shared" si="82"/>
        <v>0.91623145084655899</v>
      </c>
      <c r="GL9" s="152">
        <f t="shared" si="82"/>
        <v>1</v>
      </c>
      <c r="GM9" s="154">
        <f t="shared" si="82"/>
        <v>0.91477350777450994</v>
      </c>
      <c r="GN9" s="154">
        <f t="shared" si="82"/>
        <v>0.99545235871785764</v>
      </c>
      <c r="GO9" s="112">
        <f t="shared" si="177"/>
        <v>0.54157568153126079</v>
      </c>
      <c r="GP9" s="156">
        <f t="shared" si="177"/>
        <v>0.90382193769036878</v>
      </c>
      <c r="GQ9" s="115">
        <f t="shared" si="177"/>
        <v>0.22157858356548585</v>
      </c>
      <c r="GR9" s="117">
        <f t="shared" ref="GR9:GR35" si="204">GQ9*DO9</f>
        <v>421.37144690479414</v>
      </c>
      <c r="GS9" s="135">
        <f t="shared" si="178"/>
        <v>1699.6418764254056</v>
      </c>
      <c r="GT9" s="5">
        <f t="shared" si="178"/>
        <v>409.31777714804548</v>
      </c>
      <c r="GU9" s="130">
        <f t="shared" si="83"/>
        <v>450.39693109424587</v>
      </c>
      <c r="GV9" s="145">
        <f t="shared" si="84"/>
        <v>1029.9033636878235</v>
      </c>
      <c r="GW9" s="134">
        <f t="shared" si="85"/>
        <v>446.74058805758443</v>
      </c>
      <c r="GX9" s="157">
        <f t="shared" si="179"/>
        <v>0.63278223981396908</v>
      </c>
      <c r="GY9" s="154">
        <f t="shared" si="86"/>
        <v>0.2215785835654859</v>
      </c>
      <c r="GZ9" s="157">
        <f t="shared" si="86"/>
        <v>0.6327822398139693</v>
      </c>
      <c r="HA9" s="154">
        <f t="shared" si="86"/>
        <v>0.30653832225796424</v>
      </c>
      <c r="HB9" s="155">
        <f t="shared" si="86"/>
        <v>0.24381622203036846</v>
      </c>
      <c r="HC9" s="157">
        <f t="shared" si="87"/>
        <v>0.62227264656122427</v>
      </c>
      <c r="HD9" s="154">
        <f t="shared" si="88"/>
        <v>0.24183691070717633</v>
      </c>
      <c r="HE9" s="144">
        <v>65.5</v>
      </c>
      <c r="HF9" s="146"/>
      <c r="HG9" s="158">
        <f t="shared" si="89"/>
        <v>106.63637381610687</v>
      </c>
      <c r="HH9" s="2">
        <f t="shared" si="90"/>
        <v>94.608859406509723</v>
      </c>
      <c r="HI9" s="2">
        <f t="shared" si="91"/>
        <v>98.456248793553698</v>
      </c>
      <c r="HJ9" s="2">
        <f t="shared" si="92"/>
        <v>101.0498687664042</v>
      </c>
      <c r="HK9" s="2">
        <f t="shared" si="93"/>
        <v>115.93476969404477</v>
      </c>
      <c r="HL9" s="2">
        <f t="shared" si="180"/>
        <v>98.564211809029445</v>
      </c>
      <c r="HM9" s="2">
        <f t="shared" si="94"/>
        <v>121.45847973954247</v>
      </c>
      <c r="HN9" s="2">
        <f t="shared" si="95"/>
        <v>104.07318418509448</v>
      </c>
      <c r="HO9" s="2">
        <f t="shared" si="181"/>
        <v>88.348675559186276</v>
      </c>
      <c r="HP9" s="2">
        <f t="shared" si="96"/>
        <v>85.382369365942523</v>
      </c>
      <c r="HQ9" s="2">
        <f t="shared" si="182"/>
        <v>86.54448540447288</v>
      </c>
      <c r="HR9" s="159">
        <f t="shared" si="97"/>
        <v>110.18606253873091</v>
      </c>
      <c r="HS9" s="12">
        <f t="shared" si="98"/>
        <v>127.06719285671852</v>
      </c>
      <c r="HT9" s="12">
        <f t="shared" si="99"/>
        <v>85.124273948296022</v>
      </c>
      <c r="HU9" s="12">
        <f t="shared" si="100"/>
        <v>94.707073602926286</v>
      </c>
      <c r="HV9" s="12">
        <f t="shared" si="101"/>
        <v>110.51461862670679</v>
      </c>
      <c r="HW9" s="12">
        <f t="shared" si="183"/>
        <v>97.013390352664587</v>
      </c>
      <c r="HX9" s="12">
        <f t="shared" si="102"/>
        <v>116.74447355049185</v>
      </c>
      <c r="HY9" s="12">
        <f t="shared" si="103"/>
        <v>103.96594150075022</v>
      </c>
      <c r="HZ9" s="12">
        <f t="shared" si="104"/>
        <v>82.635187658803204</v>
      </c>
      <c r="IA9" s="12">
        <f t="shared" si="105"/>
        <v>87.004479493134781</v>
      </c>
      <c r="IB9" s="12">
        <f t="shared" si="184"/>
        <v>91.623145084655903</v>
      </c>
      <c r="IC9" s="158">
        <f t="shared" si="106"/>
        <v>122.52562442726781</v>
      </c>
      <c r="ID9" s="2">
        <f t="shared" si="107"/>
        <v>99.595749285956487</v>
      </c>
      <c r="IE9" s="2">
        <f t="shared" si="108"/>
        <v>103.65017424605709</v>
      </c>
      <c r="IF9" s="2">
        <f t="shared" si="109"/>
        <v>101.0498687664042</v>
      </c>
      <c r="IG9" s="2">
        <f t="shared" si="110"/>
        <v>116.58721812190093</v>
      </c>
      <c r="IH9" s="2">
        <f t="shared" si="185"/>
        <v>98.564211809029487</v>
      </c>
      <c r="II9" s="2">
        <f t="shared" si="111"/>
        <v>120.75568970121691</v>
      </c>
      <c r="IJ9" s="2">
        <f t="shared" si="112"/>
        <v>104.07318418509446</v>
      </c>
      <c r="IK9" s="2">
        <f t="shared" si="113"/>
        <v>102.9325513196481</v>
      </c>
      <c r="IL9" s="2">
        <f t="shared" si="114"/>
        <v>81.609966030141024</v>
      </c>
      <c r="IM9" s="2">
        <f t="shared" si="186"/>
        <v>100</v>
      </c>
      <c r="IN9" s="159">
        <f t="shared" si="115"/>
        <v>108.2933048255605</v>
      </c>
      <c r="IO9" s="12">
        <f t="shared" si="116"/>
        <v>93.345263396372175</v>
      </c>
      <c r="IP9" s="12">
        <f t="shared" si="117"/>
        <v>95.33655139565353</v>
      </c>
      <c r="IQ9" s="12">
        <f t="shared" si="118"/>
        <v>94.707073602926286</v>
      </c>
      <c r="IR9" s="12">
        <f t="shared" si="119"/>
        <v>110.51461862670679</v>
      </c>
      <c r="IS9" s="12">
        <f t="shared" si="187"/>
        <v>98.565376931821305</v>
      </c>
      <c r="IT9" s="12">
        <f t="shared" si="120"/>
        <v>116.74447355049185</v>
      </c>
      <c r="IU9" s="12">
        <f t="shared" si="121"/>
        <v>102.12604428630998</v>
      </c>
      <c r="IV9" s="12">
        <f t="shared" si="122"/>
        <v>92.332133546662732</v>
      </c>
      <c r="IW9" s="12">
        <f t="shared" si="123"/>
        <v>84.566981173038016</v>
      </c>
      <c r="IX9" s="12">
        <f t="shared" si="188"/>
        <v>91.477350777450994</v>
      </c>
      <c r="IY9" s="160">
        <f t="shared" si="124"/>
        <v>110.66489938716411</v>
      </c>
      <c r="IZ9" s="25">
        <f t="shared" si="125"/>
        <v>91.462296136432016</v>
      </c>
      <c r="JA9" s="25">
        <f t="shared" si="126"/>
        <v>95.802938175240854</v>
      </c>
      <c r="JB9" s="25">
        <f t="shared" si="127"/>
        <v>94.707073602926286</v>
      </c>
      <c r="JC9" s="25">
        <f t="shared" si="128"/>
        <v>110.51461862670679</v>
      </c>
      <c r="JD9" s="25">
        <f t="shared" si="189"/>
        <v>96.560880012027113</v>
      </c>
      <c r="JE9" s="25">
        <f t="shared" si="129"/>
        <v>107.40886488676486</v>
      </c>
      <c r="JF9" s="25">
        <f t="shared" si="130"/>
        <v>104.76526054648276</v>
      </c>
      <c r="JG9" s="25">
        <f t="shared" si="131"/>
        <v>92.919483981660662</v>
      </c>
      <c r="JH9" s="25">
        <f t="shared" si="132"/>
        <v>89.913108357227117</v>
      </c>
      <c r="JI9" s="25">
        <f t="shared" si="190"/>
        <v>99.545235871785763</v>
      </c>
    </row>
    <row r="10" spans="1:269" x14ac:dyDescent="0.35">
      <c r="A10" s="109">
        <v>1995</v>
      </c>
      <c r="B10" s="110">
        <v>386858000000</v>
      </c>
      <c r="C10" s="111">
        <v>57.6</v>
      </c>
      <c r="D10" s="112">
        <f t="shared" si="133"/>
        <v>0.57600000000000007</v>
      </c>
      <c r="E10" s="111">
        <f t="shared" si="134"/>
        <v>6716284722.2222223</v>
      </c>
      <c r="F10" s="113">
        <f t="shared" si="135"/>
        <v>671628472222.22217</v>
      </c>
      <c r="G10" s="114">
        <v>27030000000</v>
      </c>
      <c r="H10" s="110">
        <v>9616000000</v>
      </c>
      <c r="I10" s="110">
        <v>167564000000</v>
      </c>
      <c r="J10" s="110">
        <v>59444000000</v>
      </c>
      <c r="K10" s="112">
        <v>68.3</v>
      </c>
      <c r="L10" s="112">
        <f t="shared" si="136"/>
        <v>0.68299999999999994</v>
      </c>
      <c r="M10" s="112">
        <f t="shared" si="137"/>
        <v>395754026.35431921</v>
      </c>
      <c r="N10" s="112">
        <f t="shared" si="138"/>
        <v>2453352855.0512447</v>
      </c>
      <c r="O10" s="112">
        <f t="shared" si="139"/>
        <v>2453352855.0512447</v>
      </c>
      <c r="P10" s="112">
        <f t="shared" si="140"/>
        <v>39575402635.431923</v>
      </c>
      <c r="Q10" s="112">
        <f t="shared" si="141"/>
        <v>14079062957.540264</v>
      </c>
      <c r="R10" s="112">
        <f t="shared" si="142"/>
        <v>245335285505.12448</v>
      </c>
      <c r="S10" s="115">
        <f t="shared" si="143"/>
        <v>298989751098.09668</v>
      </c>
      <c r="T10" s="112">
        <f t="shared" si="144"/>
        <v>870336749.63396788</v>
      </c>
      <c r="U10" s="115">
        <f t="shared" si="145"/>
        <v>87033674963.39679</v>
      </c>
      <c r="V10" s="116">
        <f t="shared" si="146"/>
        <v>1057651898283.7156</v>
      </c>
      <c r="W10" s="117">
        <f t="shared" si="147"/>
        <v>650512000000</v>
      </c>
      <c r="X10" s="112">
        <v>58.271675000000002</v>
      </c>
      <c r="Y10" s="112">
        <f t="shared" si="148"/>
        <v>0.58271675000000001</v>
      </c>
      <c r="Z10" s="112">
        <f t="shared" si="149"/>
        <v>1116343403548.9797</v>
      </c>
      <c r="AA10" s="115">
        <v>0.25800000000000001</v>
      </c>
      <c r="AB10" s="115">
        <v>0.29799999999999999</v>
      </c>
      <c r="AC10" s="115">
        <f t="shared" si="150"/>
        <v>0.55600000000000005</v>
      </c>
      <c r="AD10" s="118">
        <v>0.30288947012151968</v>
      </c>
      <c r="AE10" s="115">
        <f t="shared" si="151"/>
        <v>0.85888947012151973</v>
      </c>
      <c r="AF10" s="115">
        <f t="shared" si="152"/>
        <v>0.14111052987848027</v>
      </c>
      <c r="AG10" s="119">
        <v>0.25266358321397642</v>
      </c>
      <c r="AH10" s="119">
        <v>0.29612432680443568</v>
      </c>
      <c r="AI10" s="119">
        <f t="shared" si="153"/>
        <v>0.5487879100184121</v>
      </c>
      <c r="AJ10" s="16">
        <v>2757000</v>
      </c>
      <c r="AK10" s="120">
        <v>20205000</v>
      </c>
      <c r="AL10" s="121">
        <f t="shared" si="154"/>
        <v>22962000</v>
      </c>
      <c r="AM10" s="122">
        <v>0.18514589999999997</v>
      </c>
      <c r="AN10" s="123">
        <f t="shared" si="191"/>
        <v>3740872.9094999996</v>
      </c>
      <c r="AO10" s="124">
        <v>0.81859248692344266</v>
      </c>
      <c r="AP10" s="123">
        <f t="shared" si="155"/>
        <v>16539661.198288159</v>
      </c>
      <c r="AQ10" s="125">
        <v>0.49121090000000001</v>
      </c>
      <c r="AR10" s="123">
        <f t="shared" si="156"/>
        <v>8124461.8629062055</v>
      </c>
      <c r="AS10" s="123">
        <f t="shared" si="157"/>
        <v>8415199.3353819549</v>
      </c>
      <c r="AT10" s="115">
        <f t="shared" si="0"/>
        <v>410.15768835215738</v>
      </c>
      <c r="AU10" s="126">
        <v>0.58452720000000002</v>
      </c>
      <c r="AV10" s="123">
        <f t="shared" si="1"/>
        <v>2186641.9673458883</v>
      </c>
      <c r="AW10" s="123">
        <f t="shared" si="158"/>
        <v>1554230.9421541113</v>
      </c>
      <c r="AX10" s="127">
        <f t="shared" si="159"/>
        <v>10311103.830252094</v>
      </c>
      <c r="AY10" s="127">
        <f t="shared" si="159"/>
        <v>9969430.2775360662</v>
      </c>
      <c r="AZ10" s="16">
        <f t="shared" si="2"/>
        <v>46637136758.180962</v>
      </c>
      <c r="BA10" s="16">
        <f t="shared" si="3"/>
        <v>40396538205.215828</v>
      </c>
      <c r="BB10" s="16">
        <f t="shared" si="4"/>
        <v>173280145833.33331</v>
      </c>
      <c r="BC10" s="16">
        <f t="shared" si="5"/>
        <v>200145284722.2222</v>
      </c>
      <c r="BD10" s="17">
        <f>F10*AD10</f>
        <v>203429192069.91467</v>
      </c>
      <c r="BE10" s="16">
        <f t="shared" si="160"/>
        <v>576854622625.47021</v>
      </c>
      <c r="BF10" s="117">
        <v>671628472222.22217</v>
      </c>
      <c r="BG10" s="116">
        <f t="shared" si="161"/>
        <v>0.85888947012151973</v>
      </c>
      <c r="BH10" s="115">
        <v>0.85888947012151973</v>
      </c>
      <c r="BI10" s="17">
        <v>18607860.335308399</v>
      </c>
      <c r="BJ10" s="7">
        <f t="shared" si="162"/>
        <v>576854622625.47021</v>
      </c>
      <c r="BK10" s="16">
        <f t="shared" si="163"/>
        <v>219917282591.51428</v>
      </c>
      <c r="BL10" s="112">
        <f t="shared" si="7"/>
        <v>29249.563288137888</v>
      </c>
      <c r="BM10" s="112">
        <f t="shared" si="8"/>
        <v>25122.141913834606</v>
      </c>
      <c r="BN10" s="115">
        <f t="shared" si="9"/>
        <v>21328.199794312182</v>
      </c>
      <c r="BO10" s="112">
        <f t="shared" si="164"/>
        <v>562.4916016949594</v>
      </c>
      <c r="BP10" s="112">
        <f t="shared" si="164"/>
        <v>483.11811372758859</v>
      </c>
      <c r="BQ10" s="115">
        <f t="shared" si="164"/>
        <v>410.15768835215738</v>
      </c>
      <c r="BR10" s="112">
        <f t="shared" si="10"/>
        <v>386023426061.49341</v>
      </c>
      <c r="BS10" s="115">
        <f t="shared" si="11"/>
        <v>837734615692.20129</v>
      </c>
      <c r="BT10" s="112">
        <f t="shared" si="12"/>
        <v>386023426061.49347</v>
      </c>
      <c r="BU10" s="115">
        <f t="shared" si="13"/>
        <v>539531574025.53467</v>
      </c>
      <c r="BV10" s="118">
        <f t="shared" si="14"/>
        <v>742960766095.44934</v>
      </c>
      <c r="BW10" s="112">
        <f t="shared" si="15"/>
        <v>46060.965868988569</v>
      </c>
      <c r="BX10" s="115">
        <f t="shared" si="16"/>
        <v>102574.07118534052</v>
      </c>
      <c r="BY10" s="128">
        <f t="shared" si="17"/>
        <v>930276148414.96802</v>
      </c>
      <c r="BZ10" s="119">
        <f t="shared" si="18"/>
        <v>969220739104.30725</v>
      </c>
      <c r="CA10" s="113">
        <v>38.5</v>
      </c>
      <c r="CB10" s="113">
        <v>15.1</v>
      </c>
      <c r="CC10" s="113">
        <v>8.9</v>
      </c>
      <c r="CD10" s="113">
        <v>16418749.13244834</v>
      </c>
      <c r="CE10" s="113">
        <v>5399488.3628606834</v>
      </c>
      <c r="CF10" s="113">
        <v>1275883.0927183544</v>
      </c>
      <c r="CG10" s="113">
        <f t="shared" si="165"/>
        <v>23094120.58802738</v>
      </c>
      <c r="CH10" s="113">
        <v>22962000</v>
      </c>
      <c r="CI10" s="113">
        <f t="shared" si="166"/>
        <v>-132120.58802738041</v>
      </c>
      <c r="CJ10" s="122">
        <f t="shared" si="167"/>
        <v>0.71094931152997731</v>
      </c>
      <c r="CK10" s="122">
        <f t="shared" si="168"/>
        <v>0.23380359266245127</v>
      </c>
      <c r="CL10" s="122">
        <f t="shared" si="169"/>
        <v>5.5247095807571339E-2</v>
      </c>
      <c r="CM10" s="129">
        <f t="shared" si="19"/>
        <v>31.393681895794519</v>
      </c>
      <c r="CN10" s="16">
        <v>854904204.7046293</v>
      </c>
      <c r="CO10" s="16">
        <f t="shared" si="20"/>
        <v>725009475.40365064</v>
      </c>
      <c r="CP10" s="130">
        <v>31.5</v>
      </c>
      <c r="CQ10" s="131">
        <f t="shared" si="192"/>
        <v>31.287363791589037</v>
      </c>
      <c r="CR10" s="5">
        <v>34.72</v>
      </c>
      <c r="CS10" s="132">
        <v>42.21</v>
      </c>
      <c r="CT10" s="5">
        <f t="shared" si="21"/>
        <v>36.308379731699425</v>
      </c>
      <c r="CU10" s="5">
        <v>32.18</v>
      </c>
      <c r="CV10" s="5">
        <v>43.89</v>
      </c>
      <c r="CW10" s="133"/>
      <c r="CX10" s="134">
        <v>33.33</v>
      </c>
      <c r="CY10" s="5">
        <f t="shared" si="193"/>
        <v>33.462785822623104</v>
      </c>
      <c r="CZ10" s="5">
        <f t="shared" si="170"/>
        <v>36.953018305277723</v>
      </c>
      <c r="DA10" s="5">
        <f t="shared" si="194"/>
        <v>36.497539537459403</v>
      </c>
      <c r="DB10" s="117">
        <f t="shared" si="171"/>
        <v>1921.5569518744417</v>
      </c>
      <c r="DC10" s="135">
        <f t="shared" si="171"/>
        <v>1897.8720559478888</v>
      </c>
      <c r="DD10" s="5">
        <f t="shared" si="22"/>
        <v>1888.0357460483701</v>
      </c>
      <c r="DE10" s="131">
        <f t="shared" si="23"/>
        <v>360357627.44753438</v>
      </c>
      <c r="DF10" s="5">
        <f t="shared" si="24"/>
        <v>282081315.88010347</v>
      </c>
      <c r="DG10" s="131">
        <f t="shared" si="25"/>
        <v>428815474.10806727</v>
      </c>
      <c r="DH10" s="5">
        <f t="shared" si="26"/>
        <v>92298157.441669941</v>
      </c>
      <c r="DI10" s="7">
        <f t="shared" si="195"/>
        <v>848515206.32578707</v>
      </c>
      <c r="DJ10" s="136">
        <f t="shared" si="172"/>
        <v>1204672987.6648853</v>
      </c>
      <c r="DK10" s="16">
        <f t="shared" si="27"/>
        <v>374379473.32177341</v>
      </c>
      <c r="DL10" s="7">
        <f t="shared" si="196"/>
        <v>44122790728.940926</v>
      </c>
      <c r="DM10" s="136">
        <f t="shared" si="196"/>
        <v>62642995358.574036</v>
      </c>
      <c r="DN10" s="16">
        <f t="shared" si="173"/>
        <v>19467732612.732216</v>
      </c>
      <c r="DO10" s="117">
        <f t="shared" si="197"/>
        <v>1921.5569518744414</v>
      </c>
      <c r="DP10" s="135">
        <f t="shared" si="198"/>
        <v>1897.8720559478891</v>
      </c>
      <c r="DQ10" s="5">
        <f t="shared" si="28"/>
        <v>1888.0357460483697</v>
      </c>
      <c r="DR10" s="117">
        <f t="shared" si="29"/>
        <v>23.97064829333161</v>
      </c>
      <c r="DS10" s="135">
        <f t="shared" si="199"/>
        <v>16.883801488572228</v>
      </c>
      <c r="DT10" s="5">
        <f t="shared" si="30"/>
        <v>54.328458240277754</v>
      </c>
      <c r="DU10" s="137">
        <f t="shared" si="31"/>
        <v>20.588137411128901</v>
      </c>
      <c r="DV10" s="138">
        <f t="shared" si="32"/>
        <v>39.010647604660292</v>
      </c>
      <c r="DW10" s="130">
        <f t="shared" si="33"/>
        <v>49.460205142597125</v>
      </c>
      <c r="DX10" s="137">
        <v>21.083801206726104</v>
      </c>
      <c r="DY10" s="138">
        <v>49.786010440189685</v>
      </c>
      <c r="DZ10" s="137">
        <f t="shared" si="34"/>
        <v>23.970648293331614</v>
      </c>
      <c r="EA10" s="138">
        <v>35.692286466355611</v>
      </c>
      <c r="EB10" s="130">
        <v>45.306792291746525</v>
      </c>
      <c r="EC10" s="139">
        <f t="shared" si="35"/>
        <v>0.57475738749468852</v>
      </c>
      <c r="ED10" s="140">
        <f t="shared" si="36"/>
        <v>3.8093168750554853</v>
      </c>
      <c r="EE10" s="139">
        <f t="shared" si="37"/>
        <v>0.57475738749468863</v>
      </c>
      <c r="EF10" s="141">
        <f t="shared" si="38"/>
        <v>3.3783646166429904</v>
      </c>
      <c r="EG10" s="142">
        <f t="shared" si="39"/>
        <v>2.453338672011915</v>
      </c>
      <c r="EH10" s="117">
        <f t="shared" si="40"/>
        <v>23.465848516555923</v>
      </c>
      <c r="EI10" s="117">
        <f t="shared" si="41"/>
        <v>13.487169788721801</v>
      </c>
      <c r="EJ10" s="135">
        <f t="shared" si="42"/>
        <v>8.3358839962129618</v>
      </c>
      <c r="EK10" s="135">
        <f t="shared" si="43"/>
        <v>28.161655541246439</v>
      </c>
      <c r="EL10" s="143">
        <f t="shared" si="44"/>
        <v>10.51399332071481</v>
      </c>
      <c r="EM10" s="143">
        <f t="shared" si="45"/>
        <v>25.794386410984615</v>
      </c>
      <c r="EN10" s="144">
        <f t="shared" si="46"/>
        <v>24.44821043910159</v>
      </c>
      <c r="EO10" s="145">
        <f t="shared" si="47"/>
        <v>14.05178956089841</v>
      </c>
      <c r="EP10" s="146">
        <f t="shared" si="48"/>
        <v>10.51399332071481</v>
      </c>
      <c r="EQ10" s="134">
        <f t="shared" si="49"/>
        <v>25.794386410984615</v>
      </c>
      <c r="ER10" s="130">
        <f t="shared" si="50"/>
        <v>8.2926806949070482</v>
      </c>
      <c r="ES10" s="130">
        <f t="shared" si="51"/>
        <v>28.015699036792377</v>
      </c>
      <c r="ET10" s="117">
        <f t="shared" si="200"/>
        <v>12.433018305277724</v>
      </c>
      <c r="EU10" s="135">
        <f t="shared" si="201"/>
        <v>27.007539537459401</v>
      </c>
      <c r="EV10" s="5">
        <f t="shared" si="52"/>
        <v>24.698379731699426</v>
      </c>
      <c r="EW10" s="145">
        <f t="shared" si="53"/>
        <v>14.04</v>
      </c>
      <c r="EX10" s="134">
        <f t="shared" si="54"/>
        <v>24.642379731699425</v>
      </c>
      <c r="EY10" s="130">
        <f t="shared" si="55"/>
        <v>26.838379731699426</v>
      </c>
      <c r="EZ10" s="117">
        <f t="shared" si="202"/>
        <v>50.705621147135901</v>
      </c>
      <c r="FA10" s="135">
        <f t="shared" si="203"/>
        <v>284.5894577182234</v>
      </c>
      <c r="FB10" s="5">
        <f t="shared" si="174"/>
        <v>212.73367555296664</v>
      </c>
      <c r="FC10" s="145">
        <f t="shared" si="56"/>
        <v>57.399836467702372</v>
      </c>
      <c r="FD10" s="134">
        <f t="shared" si="57"/>
        <v>211.23246812703087</v>
      </c>
      <c r="FE10" s="130">
        <f t="shared" si="58"/>
        <v>283.40422103167293</v>
      </c>
      <c r="FF10" s="117">
        <f t="shared" si="59"/>
        <v>13.073847168218691</v>
      </c>
      <c r="FG10" s="135">
        <f t="shared" si="175"/>
        <v>15.411767719784065</v>
      </c>
      <c r="FH10" s="5">
        <f t="shared" si="60"/>
        <v>11.296502112818459</v>
      </c>
      <c r="FI10" s="145">
        <f t="shared" si="61"/>
        <v>13.073847168218691</v>
      </c>
      <c r="FJ10" s="134">
        <f t="shared" si="62"/>
        <v>11.296502112818459</v>
      </c>
      <c r="FK10" s="145">
        <f t="shared" si="63"/>
        <v>15.221803995767862</v>
      </c>
      <c r="FL10" s="134">
        <f t="shared" si="64"/>
        <v>11.296502112818459</v>
      </c>
      <c r="FM10" s="130">
        <v>10.393768824749477</v>
      </c>
      <c r="FN10" s="111">
        <v>67.2</v>
      </c>
      <c r="FO10" s="147">
        <f t="shared" si="65"/>
        <v>2.8034285588635646</v>
      </c>
      <c r="FP10" s="148">
        <f t="shared" si="66"/>
        <v>3.9801462985385254</v>
      </c>
      <c r="FQ10" s="149">
        <f t="shared" si="67"/>
        <v>1.2369207994601181</v>
      </c>
      <c r="FR10" s="150">
        <f t="shared" si="68"/>
        <v>4.1717686887850665E-2</v>
      </c>
      <c r="FS10" s="151">
        <f t="shared" si="68"/>
        <v>5.9228367537775675E-2</v>
      </c>
      <c r="FT10" s="122">
        <f t="shared" si="68"/>
        <v>1.8406559515775568E-2</v>
      </c>
      <c r="FU10" s="152">
        <f t="shared" si="69"/>
        <v>1.6061309451822503</v>
      </c>
      <c r="FV10" s="140">
        <f t="shared" si="70"/>
        <v>0.93072999196665351</v>
      </c>
      <c r="FW10" s="153">
        <f t="shared" si="71"/>
        <v>0.73409278483621132</v>
      </c>
      <c r="FX10" s="152">
        <f t="shared" si="72"/>
        <v>2.1642283775045303</v>
      </c>
      <c r="FY10" s="140">
        <f t="shared" si="73"/>
        <v>0.66831235245290477</v>
      </c>
      <c r="FZ10" s="140">
        <f t="shared" si="176"/>
        <v>48.397959582265983</v>
      </c>
      <c r="GA10" s="153">
        <f t="shared" si="176"/>
        <v>38.17282481148299</v>
      </c>
      <c r="GB10" s="152">
        <f t="shared" si="74"/>
        <v>4.8571659496475433E-2</v>
      </c>
      <c r="GC10" s="154">
        <f t="shared" si="75"/>
        <v>1.8406559515775568E-2</v>
      </c>
      <c r="GD10" s="152">
        <f t="shared" si="76"/>
        <v>4.1717686887850658E-2</v>
      </c>
      <c r="GE10" s="154">
        <f t="shared" si="77"/>
        <v>2.5634027154179773E-2</v>
      </c>
      <c r="GF10" s="155">
        <f t="shared" si="78"/>
        <v>2.1974298587260323E-2</v>
      </c>
      <c r="GG10" s="152">
        <f t="shared" si="79"/>
        <v>232.5739377638144</v>
      </c>
      <c r="GH10" s="134">
        <f t="shared" si="80"/>
        <v>36.308379731699425</v>
      </c>
      <c r="GI10" s="130">
        <f t="shared" si="81"/>
        <v>36.308379731699425</v>
      </c>
      <c r="GJ10" s="152">
        <f t="shared" si="82"/>
        <v>1.0240752131044781</v>
      </c>
      <c r="GK10" s="154">
        <f t="shared" si="82"/>
        <v>0.9163891642203752</v>
      </c>
      <c r="GL10" s="152">
        <f t="shared" si="82"/>
        <v>1</v>
      </c>
      <c r="GM10" s="154">
        <f t="shared" si="82"/>
        <v>0.91493704047332292</v>
      </c>
      <c r="GN10" s="154">
        <f t="shared" si="82"/>
        <v>0.99558498184982258</v>
      </c>
      <c r="GO10" s="112">
        <f t="shared" si="177"/>
        <v>0.54541066258336046</v>
      </c>
      <c r="GP10" s="156">
        <f t="shared" si="177"/>
        <v>0.91281384291419754</v>
      </c>
      <c r="GQ10" s="115">
        <f t="shared" si="177"/>
        <v>0.20792973845967741</v>
      </c>
      <c r="GR10" s="117">
        <f t="shared" si="204"/>
        <v>399.54883443862752</v>
      </c>
      <c r="GS10" s="135">
        <f t="shared" si="178"/>
        <v>1732.4038847492616</v>
      </c>
      <c r="GT10" s="5">
        <f t="shared" si="178"/>
        <v>392.5787788783594</v>
      </c>
      <c r="GU10" s="130">
        <f t="shared" si="83"/>
        <v>431.21939613516651</v>
      </c>
      <c r="GV10" s="145">
        <f t="shared" si="84"/>
        <v>1048.0376503135014</v>
      </c>
      <c r="GW10" s="134">
        <f t="shared" si="85"/>
        <v>428.39744751057668</v>
      </c>
      <c r="GX10" s="157">
        <f t="shared" si="179"/>
        <v>0.63501845296367787</v>
      </c>
      <c r="GY10" s="154">
        <f t="shared" si="86"/>
        <v>0.20792973845967741</v>
      </c>
      <c r="GZ10" s="157">
        <f t="shared" si="86"/>
        <v>0.63501845296367765</v>
      </c>
      <c r="HA10" s="154">
        <f t="shared" si="86"/>
        <v>0.28957484190723753</v>
      </c>
      <c r="HB10" s="155">
        <f t="shared" si="86"/>
        <v>0.22839577960200283</v>
      </c>
      <c r="HC10" s="157">
        <f t="shared" si="87"/>
        <v>0.62008966220227424</v>
      </c>
      <c r="HD10" s="154">
        <f t="shared" si="88"/>
        <v>0.22690113172232362</v>
      </c>
      <c r="HE10" s="144">
        <v>67.2</v>
      </c>
      <c r="HF10" s="146"/>
      <c r="HG10" s="158">
        <f t="shared" si="89"/>
        <v>107.35132997314716</v>
      </c>
      <c r="HH10" s="2">
        <f t="shared" si="90"/>
        <v>95.935603093033208</v>
      </c>
      <c r="HI10" s="2">
        <f t="shared" si="91"/>
        <v>98.879543905585038</v>
      </c>
      <c r="HJ10" s="2">
        <f t="shared" si="92"/>
        <v>101.0498687664042</v>
      </c>
      <c r="HK10" s="2">
        <f t="shared" si="93"/>
        <v>117.10436375864053</v>
      </c>
      <c r="HL10" s="2">
        <f t="shared" si="180"/>
        <v>98.912531614280041</v>
      </c>
      <c r="HM10" s="2">
        <f t="shared" si="94"/>
        <v>121.84386922850597</v>
      </c>
      <c r="HN10" s="2">
        <f t="shared" si="95"/>
        <v>103.07515781544241</v>
      </c>
      <c r="HO10" s="2">
        <f t="shared" si="181"/>
        <v>91.151160595877741</v>
      </c>
      <c r="HP10" s="2">
        <f t="shared" si="96"/>
        <v>87.939664320197139</v>
      </c>
      <c r="HQ10" s="2">
        <f t="shared" si="182"/>
        <v>87.156079039351667</v>
      </c>
      <c r="HR10" s="159">
        <f t="shared" si="97"/>
        <v>111.62782609908</v>
      </c>
      <c r="HS10" s="12">
        <f t="shared" si="98"/>
        <v>122.68370269212147</v>
      </c>
      <c r="HT10" s="12">
        <f t="shared" si="99"/>
        <v>89.130568109829341</v>
      </c>
      <c r="HU10" s="12">
        <f t="shared" si="100"/>
        <v>96.796533542253869</v>
      </c>
      <c r="HV10" s="12">
        <f t="shared" si="101"/>
        <v>107.36358272419039</v>
      </c>
      <c r="HW10" s="12">
        <f t="shared" si="183"/>
        <v>91.037538730156484</v>
      </c>
      <c r="HX10" s="12">
        <f t="shared" si="102"/>
        <v>110.96760425165479</v>
      </c>
      <c r="HY10" s="12">
        <f t="shared" si="103"/>
        <v>112.73303448460474</v>
      </c>
      <c r="HZ10" s="12">
        <f t="shared" si="104"/>
        <v>85.343399211124478</v>
      </c>
      <c r="IA10" s="12">
        <f t="shared" si="105"/>
        <v>88.124878844408528</v>
      </c>
      <c r="IB10" s="12">
        <f t="shared" si="184"/>
        <v>91.638916422037525</v>
      </c>
      <c r="IC10" s="158">
        <f t="shared" si="106"/>
        <v>122.05014405973327</v>
      </c>
      <c r="ID10" s="2">
        <f t="shared" si="107"/>
        <v>99.947714480608283</v>
      </c>
      <c r="IE10" s="2">
        <f t="shared" si="108"/>
        <v>103.01898505057486</v>
      </c>
      <c r="IF10" s="2">
        <f t="shared" si="109"/>
        <v>101.0498687664042</v>
      </c>
      <c r="IG10" s="2">
        <f t="shared" si="110"/>
        <v>118.17965555371437</v>
      </c>
      <c r="IH10" s="2">
        <f t="shared" si="185"/>
        <v>98.912531614280013</v>
      </c>
      <c r="II10" s="2">
        <f t="shared" si="111"/>
        <v>120.71216491489184</v>
      </c>
      <c r="IJ10" s="2">
        <f t="shared" si="112"/>
        <v>103.07515781544242</v>
      </c>
      <c r="IK10" s="2">
        <f t="shared" si="113"/>
        <v>102.9325513196481</v>
      </c>
      <c r="IL10" s="2">
        <f t="shared" si="114"/>
        <v>81.927900408190609</v>
      </c>
      <c r="IM10" s="2">
        <f t="shared" si="186"/>
        <v>100</v>
      </c>
      <c r="IN10" s="159">
        <f t="shared" si="115"/>
        <v>108.98408081329958</v>
      </c>
      <c r="IO10" s="12">
        <f t="shared" si="116"/>
        <v>90.125092754284324</v>
      </c>
      <c r="IP10" s="12">
        <f t="shared" si="117"/>
        <v>99.823476822695881</v>
      </c>
      <c r="IQ10" s="12">
        <f t="shared" si="118"/>
        <v>96.796533542253869</v>
      </c>
      <c r="IR10" s="12">
        <f t="shared" si="119"/>
        <v>107.36358272419039</v>
      </c>
      <c r="IS10" s="12">
        <f t="shared" si="187"/>
        <v>93.110881642198564</v>
      </c>
      <c r="IT10" s="12">
        <f t="shared" si="120"/>
        <v>110.96760425165479</v>
      </c>
      <c r="IU10" s="12">
        <f t="shared" si="121"/>
        <v>110.75321072311073</v>
      </c>
      <c r="IV10" s="12">
        <f t="shared" si="122"/>
        <v>95.365246639703656</v>
      </c>
      <c r="IW10" s="12">
        <f t="shared" si="123"/>
        <v>84.045990669441878</v>
      </c>
      <c r="IX10" s="12">
        <f t="shared" si="188"/>
        <v>91.493704047332287</v>
      </c>
      <c r="IY10" s="160">
        <f t="shared" si="124"/>
        <v>112.31232595871721</v>
      </c>
      <c r="IZ10" s="25">
        <f t="shared" si="125"/>
        <v>87.567905965227538</v>
      </c>
      <c r="JA10" s="25">
        <f t="shared" si="126"/>
        <v>99.913334653325165</v>
      </c>
      <c r="JB10" s="25">
        <f t="shared" si="127"/>
        <v>96.796533542253869</v>
      </c>
      <c r="JC10" s="25">
        <f t="shared" si="128"/>
        <v>107.36358272419039</v>
      </c>
      <c r="JD10" s="25">
        <f t="shared" si="189"/>
        <v>90.453774099803098</v>
      </c>
      <c r="JE10" s="25">
        <f t="shared" si="129"/>
        <v>102.09989022347227</v>
      </c>
      <c r="JF10" s="25">
        <f t="shared" si="130"/>
        <v>114.11928930215008</v>
      </c>
      <c r="JG10" s="25">
        <f t="shared" si="131"/>
        <v>95.714621011766852</v>
      </c>
      <c r="JH10" s="25">
        <f t="shared" si="132"/>
        <v>88.606042690565829</v>
      </c>
      <c r="JI10" s="25">
        <f t="shared" si="190"/>
        <v>99.558498184982255</v>
      </c>
    </row>
    <row r="11" spans="1:269" x14ac:dyDescent="0.35">
      <c r="A11" s="109">
        <v>1996</v>
      </c>
      <c r="B11" s="110">
        <v>405288000000</v>
      </c>
      <c r="C11" s="111">
        <v>59</v>
      </c>
      <c r="D11" s="112">
        <f t="shared" si="133"/>
        <v>0.59</v>
      </c>
      <c r="E11" s="111">
        <f t="shared" si="134"/>
        <v>6869288135.5932207</v>
      </c>
      <c r="F11" s="113">
        <f t="shared" si="135"/>
        <v>686928813559.32202</v>
      </c>
      <c r="G11" s="114">
        <v>31763000000</v>
      </c>
      <c r="H11" s="110">
        <v>9647000000</v>
      </c>
      <c r="I11" s="110">
        <v>187245000000</v>
      </c>
      <c r="J11" s="110">
        <v>64368000000</v>
      </c>
      <c r="K11" s="112">
        <v>73</v>
      </c>
      <c r="L11" s="112">
        <f t="shared" si="136"/>
        <v>0.73</v>
      </c>
      <c r="M11" s="112">
        <f t="shared" si="137"/>
        <v>435109589.04109591</v>
      </c>
      <c r="N11" s="112">
        <f t="shared" si="138"/>
        <v>2565000000</v>
      </c>
      <c r="O11" s="112">
        <f t="shared" si="139"/>
        <v>2565000000</v>
      </c>
      <c r="P11" s="112">
        <f t="shared" si="140"/>
        <v>43510958904.109589</v>
      </c>
      <c r="Q11" s="112">
        <f t="shared" si="141"/>
        <v>13215068493.150684</v>
      </c>
      <c r="R11" s="112">
        <f t="shared" si="142"/>
        <v>256500000000</v>
      </c>
      <c r="S11" s="115">
        <f t="shared" si="143"/>
        <v>313226027397.26025</v>
      </c>
      <c r="T11" s="112">
        <f t="shared" si="144"/>
        <v>881753424.65753424</v>
      </c>
      <c r="U11" s="115">
        <f t="shared" si="145"/>
        <v>88175342465.753433</v>
      </c>
      <c r="V11" s="116">
        <f t="shared" si="146"/>
        <v>1088330183422.3357</v>
      </c>
      <c r="W11" s="117">
        <f t="shared" si="147"/>
        <v>698311000000</v>
      </c>
      <c r="X11" s="112">
        <v>60.752749999999999</v>
      </c>
      <c r="Y11" s="112">
        <f t="shared" si="148"/>
        <v>0.6075275</v>
      </c>
      <c r="Z11" s="112">
        <f t="shared" si="149"/>
        <v>1149431095711.7168</v>
      </c>
      <c r="AA11" s="115">
        <v>0.26200000000000001</v>
      </c>
      <c r="AB11" s="115">
        <v>0.30499999999999999</v>
      </c>
      <c r="AC11" s="115">
        <f t="shared" si="150"/>
        <v>0.56699999999999995</v>
      </c>
      <c r="AD11" s="118">
        <v>0.28900281923740251</v>
      </c>
      <c r="AE11" s="115">
        <f t="shared" si="151"/>
        <v>0.85600281923740251</v>
      </c>
      <c r="AF11" s="115">
        <f t="shared" si="152"/>
        <v>0.14399718076259749</v>
      </c>
      <c r="AG11" s="119">
        <v>0.25583148269517586</v>
      </c>
      <c r="AH11" s="119">
        <v>0.30283798562860337</v>
      </c>
      <c r="AI11" s="119">
        <f t="shared" si="153"/>
        <v>0.55866946832377917</v>
      </c>
      <c r="AJ11" s="16">
        <v>2732000</v>
      </c>
      <c r="AK11" s="120">
        <v>20519000</v>
      </c>
      <c r="AL11" s="121">
        <f t="shared" si="154"/>
        <v>23251000</v>
      </c>
      <c r="AM11" s="122">
        <v>0.18561119999999998</v>
      </c>
      <c r="AN11" s="123">
        <f t="shared" si="191"/>
        <v>3808556.2127999994</v>
      </c>
      <c r="AO11" s="124">
        <v>0.8224794983116257</v>
      </c>
      <c r="AP11" s="123">
        <f t="shared" si="155"/>
        <v>16876456.825856246</v>
      </c>
      <c r="AQ11" s="125">
        <v>0.4834154</v>
      </c>
      <c r="AR11" s="123">
        <f t="shared" si="156"/>
        <v>8158339.1270540273</v>
      </c>
      <c r="AS11" s="123">
        <f t="shared" si="157"/>
        <v>8718117.6988022197</v>
      </c>
      <c r="AT11" s="115">
        <f t="shared" si="0"/>
        <v>424.23639822747231</v>
      </c>
      <c r="AU11" s="126">
        <v>0.59942359999999995</v>
      </c>
      <c r="AV11" s="123">
        <f t="shared" si="1"/>
        <v>2282938.4758789414</v>
      </c>
      <c r="AW11" s="123">
        <f t="shared" si="158"/>
        <v>1525617.7369210578</v>
      </c>
      <c r="AX11" s="127">
        <f t="shared" si="159"/>
        <v>10441277.602932969</v>
      </c>
      <c r="AY11" s="127">
        <f t="shared" si="159"/>
        <v>10243735.435723277</v>
      </c>
      <c r="AZ11" s="16">
        <f t="shared" si="2"/>
        <v>50362291011.853455</v>
      </c>
      <c r="BA11" s="16">
        <f t="shared" si="3"/>
        <v>37813051453.899979</v>
      </c>
      <c r="BB11" s="16">
        <f t="shared" si="4"/>
        <v>179975349152.54239</v>
      </c>
      <c r="BC11" s="16">
        <f t="shared" si="5"/>
        <v>209513288135.5932</v>
      </c>
      <c r="BD11" s="17">
        <f t="shared" si="6"/>
        <v>198524363734.04813</v>
      </c>
      <c r="BE11" s="16">
        <f t="shared" si="160"/>
        <v>588013001022.18372</v>
      </c>
      <c r="BF11" s="117">
        <v>686928813559.32202</v>
      </c>
      <c r="BG11" s="116">
        <f t="shared" si="161"/>
        <v>0.85600281923740251</v>
      </c>
      <c r="BH11" s="115">
        <v>0.85600281923740251</v>
      </c>
      <c r="BI11" s="17">
        <v>18116162.329797588</v>
      </c>
      <c r="BJ11" s="7">
        <f t="shared" si="162"/>
        <v>588013001022.18372</v>
      </c>
      <c r="BK11" s="16">
        <f t="shared" si="163"/>
        <v>230337640164.39584</v>
      </c>
      <c r="BL11" s="112">
        <f t="shared" si="7"/>
        <v>29544.054602353535</v>
      </c>
      <c r="BM11" s="112">
        <f t="shared" si="8"/>
        <v>25289.794031318383</v>
      </c>
      <c r="BN11" s="115">
        <f t="shared" si="9"/>
        <v>22060.292707828561</v>
      </c>
      <c r="BO11" s="112">
        <f t="shared" si="164"/>
        <v>568.15489619910647</v>
      </c>
      <c r="BP11" s="112">
        <f t="shared" si="164"/>
        <v>486.3421929099689</v>
      </c>
      <c r="BQ11" s="115">
        <f t="shared" si="164"/>
        <v>424.23639822747231</v>
      </c>
      <c r="BR11" s="112">
        <f t="shared" si="10"/>
        <v>401401369863.01367</v>
      </c>
      <c r="BS11" s="115">
        <f t="shared" si="11"/>
        <v>857992543257.93982</v>
      </c>
      <c r="BT11" s="112">
        <f t="shared" si="12"/>
        <v>401401369863.01367</v>
      </c>
      <c r="BU11" s="115">
        <f t="shared" si="13"/>
        <v>560552366986.75342</v>
      </c>
      <c r="BV11" s="118">
        <f t="shared" si="14"/>
        <v>759076730720.80151</v>
      </c>
      <c r="BW11" s="112">
        <f t="shared" si="15"/>
        <v>46807.887119794235</v>
      </c>
      <c r="BX11" s="115">
        <f t="shared" si="16"/>
        <v>104233.4305063034</v>
      </c>
      <c r="BY11" s="128">
        <f t="shared" si="17"/>
        <v>955995548766.25</v>
      </c>
      <c r="BZ11" s="119">
        <f t="shared" si="18"/>
        <v>998212654467.68079</v>
      </c>
      <c r="CA11" s="113">
        <v>38.700000000000003</v>
      </c>
      <c r="CB11" s="113">
        <v>15.1</v>
      </c>
      <c r="CC11" s="113">
        <v>9.1</v>
      </c>
      <c r="CD11" s="113">
        <v>16546621.531333238</v>
      </c>
      <c r="CE11" s="113">
        <v>5633470.5041048592</v>
      </c>
      <c r="CF11" s="113">
        <v>1272966.0891011935</v>
      </c>
      <c r="CG11" s="113">
        <f t="shared" si="165"/>
        <v>23453058.124539293</v>
      </c>
      <c r="CH11" s="113">
        <v>23251000</v>
      </c>
      <c r="CI11" s="113">
        <f t="shared" si="166"/>
        <v>-202058.12453929335</v>
      </c>
      <c r="CJ11" s="122">
        <f t="shared" si="167"/>
        <v>0.70552085120278007</v>
      </c>
      <c r="CK11" s="122">
        <f t="shared" si="168"/>
        <v>0.24020195891684049</v>
      </c>
      <c r="CL11" s="122">
        <f t="shared" si="169"/>
        <v>5.4277189880379377E-2</v>
      </c>
      <c r="CM11" s="129">
        <f t="shared" si="19"/>
        <v>31.424628949103333</v>
      </c>
      <c r="CN11" s="16">
        <v>862773369.59395158</v>
      </c>
      <c r="CO11" s="16">
        <f t="shared" si="20"/>
        <v>737003649.28540063</v>
      </c>
      <c r="CP11" s="130">
        <v>31.21</v>
      </c>
      <c r="CQ11" s="131">
        <f t="shared" si="192"/>
        <v>31.639257898206665</v>
      </c>
      <c r="CR11" s="5">
        <v>34.96</v>
      </c>
      <c r="CS11" s="132">
        <v>42.64</v>
      </c>
      <c r="CT11" s="5">
        <f t="shared" si="21"/>
        <v>36.639197523665608</v>
      </c>
      <c r="CU11" s="5">
        <v>32.01</v>
      </c>
      <c r="CV11" s="5">
        <v>42.89</v>
      </c>
      <c r="CW11" s="133"/>
      <c r="CX11" s="134">
        <v>32.090000000000003</v>
      </c>
      <c r="CY11" s="5">
        <f t="shared" si="193"/>
        <v>33.1207748804758</v>
      </c>
      <c r="CZ11" s="5">
        <f t="shared" si="170"/>
        <v>37.063272611970021</v>
      </c>
      <c r="DA11" s="5">
        <f t="shared" si="194"/>
        <v>36.588204721305807</v>
      </c>
      <c r="DB11" s="117">
        <f t="shared" si="171"/>
        <v>1927.2901758224411</v>
      </c>
      <c r="DC11" s="135">
        <f t="shared" si="171"/>
        <v>1902.5866455079019</v>
      </c>
      <c r="DD11" s="5">
        <f t="shared" si="22"/>
        <v>1905.2382712306116</v>
      </c>
      <c r="DE11" s="131">
        <f t="shared" si="23"/>
        <v>363431549.78913236</v>
      </c>
      <c r="DF11" s="5">
        <f t="shared" si="24"/>
        <v>285215535.88180882</v>
      </c>
      <c r="DG11" s="131">
        <f t="shared" si="25"/>
        <v>450646479.04924196</v>
      </c>
      <c r="DH11" s="5">
        <f t="shared" si="26"/>
        <v>97344496.61147806</v>
      </c>
      <c r="DI11" s="7">
        <f t="shared" si="195"/>
        <v>861758151.50091493</v>
      </c>
      <c r="DJ11" s="136">
        <f t="shared" si="172"/>
        <v>1231586356.2529802</v>
      </c>
      <c r="DK11" s="16">
        <f t="shared" si="27"/>
        <v>382560032.49328685</v>
      </c>
      <c r="DL11" s="7">
        <f t="shared" si="196"/>
        <v>44811423878.047577</v>
      </c>
      <c r="DM11" s="136">
        <f t="shared" si="196"/>
        <v>64042490525.154968</v>
      </c>
      <c r="DN11" s="16">
        <f t="shared" si="173"/>
        <v>19893121689.650917</v>
      </c>
      <c r="DO11" s="117">
        <f t="shared" si="197"/>
        <v>1927.2901758224411</v>
      </c>
      <c r="DP11" s="135">
        <f t="shared" si="198"/>
        <v>1902.5866455079019</v>
      </c>
      <c r="DQ11" s="5">
        <f t="shared" si="28"/>
        <v>1905.2382712306119</v>
      </c>
      <c r="DR11" s="117">
        <f t="shared" si="29"/>
        <v>24.286891360207186</v>
      </c>
      <c r="DS11" s="135">
        <f t="shared" si="199"/>
        <v>16.993876635619834</v>
      </c>
      <c r="DT11" s="5">
        <f t="shared" si="30"/>
        <v>54.708868743738812</v>
      </c>
      <c r="DU11" s="137">
        <f t="shared" si="31"/>
        <v>20.789647474849865</v>
      </c>
      <c r="DV11" s="138">
        <f t="shared" si="32"/>
        <v>39.756958183320087</v>
      </c>
      <c r="DW11" s="130">
        <f t="shared" si="33"/>
        <v>49.73650623169538</v>
      </c>
      <c r="DX11" s="137">
        <v>21.333746309154382</v>
      </c>
      <c r="DY11" s="138">
        <v>50.178783905342776</v>
      </c>
      <c r="DZ11" s="137">
        <f t="shared" si="34"/>
        <v>24.286891360207186</v>
      </c>
      <c r="EA11" s="138">
        <v>36.395331456165522</v>
      </c>
      <c r="EB11" s="130">
        <v>45.595000316758835</v>
      </c>
      <c r="EC11" s="139">
        <f t="shared" si="35"/>
        <v>0.58434201905602456</v>
      </c>
      <c r="ED11" s="140">
        <f t="shared" si="36"/>
        <v>3.7249341559876021</v>
      </c>
      <c r="EE11" s="139">
        <f t="shared" si="37"/>
        <v>0.58434201905602456</v>
      </c>
      <c r="EF11" s="141">
        <f t="shared" si="38"/>
        <v>3.2954958216079477</v>
      </c>
      <c r="EG11" s="142">
        <f t="shared" si="39"/>
        <v>2.4336116606329639</v>
      </c>
      <c r="EH11" s="117">
        <f t="shared" si="40"/>
        <v>23.393479543042663</v>
      </c>
      <c r="EI11" s="117">
        <f t="shared" si="41"/>
        <v>13.669793068927358</v>
      </c>
      <c r="EJ11" s="135">
        <f t="shared" si="42"/>
        <v>8.5178070799774677</v>
      </c>
      <c r="EK11" s="135">
        <f t="shared" si="43"/>
        <v>28.070397641328341</v>
      </c>
      <c r="EL11" s="143">
        <f t="shared" si="44"/>
        <v>10.670745892362042</v>
      </c>
      <c r="EM11" s="143">
        <f t="shared" si="45"/>
        <v>25.968451631303566</v>
      </c>
      <c r="EN11" s="144">
        <f t="shared" si="46"/>
        <v>24.42654397505537</v>
      </c>
      <c r="EO11" s="145">
        <f t="shared" si="47"/>
        <v>14.273456024944633</v>
      </c>
      <c r="EP11" s="146">
        <f t="shared" si="48"/>
        <v>10.670745892362042</v>
      </c>
      <c r="EQ11" s="134">
        <f t="shared" si="49"/>
        <v>25.968451631303566</v>
      </c>
      <c r="ER11" s="130">
        <f t="shared" si="50"/>
        <v>8.5296783061356418</v>
      </c>
      <c r="ES11" s="130">
        <f t="shared" si="51"/>
        <v>28.109519217529964</v>
      </c>
      <c r="ET11" s="117">
        <f t="shared" si="200"/>
        <v>12.543272611970021</v>
      </c>
      <c r="EU11" s="135">
        <f t="shared" si="201"/>
        <v>27.098204721305805</v>
      </c>
      <c r="EV11" s="5">
        <f t="shared" si="52"/>
        <v>25.029197523665609</v>
      </c>
      <c r="EW11" s="145">
        <f t="shared" si="53"/>
        <v>14.240000000000002</v>
      </c>
      <c r="EX11" s="134">
        <f t="shared" si="54"/>
        <v>24.973197523665608</v>
      </c>
      <c r="EY11" s="130">
        <f t="shared" si="55"/>
        <v>27.169197523665609</v>
      </c>
      <c r="EZ11" s="117">
        <f t="shared" si="202"/>
        <v>51.155271663825545</v>
      </c>
      <c r="FA11" s="135">
        <f t="shared" si="203"/>
        <v>285.54483373346471</v>
      </c>
      <c r="FB11" s="5">
        <f t="shared" si="174"/>
        <v>215.58309667239973</v>
      </c>
      <c r="FC11" s="145">
        <f t="shared" si="56"/>
        <v>58.217497955846284</v>
      </c>
      <c r="FD11" s="134">
        <f t="shared" si="57"/>
        <v>214.06821124349054</v>
      </c>
      <c r="FE11" s="130">
        <f t="shared" si="58"/>
        <v>286.89754512846469</v>
      </c>
      <c r="FF11" s="117">
        <f t="shared" si="59"/>
        <v>13.121944141351914</v>
      </c>
      <c r="FG11" s="135">
        <f t="shared" si="175"/>
        <v>15.528362228394938</v>
      </c>
      <c r="FH11" s="5">
        <f t="shared" si="60"/>
        <v>11.578757912300178</v>
      </c>
      <c r="FI11" s="145">
        <f t="shared" si="61"/>
        <v>13.121944141351914</v>
      </c>
      <c r="FJ11" s="134">
        <f t="shared" si="62"/>
        <v>11.578757912300178</v>
      </c>
      <c r="FK11" s="145">
        <f t="shared" si="63"/>
        <v>15.329323509754346</v>
      </c>
      <c r="FL11" s="134">
        <f t="shared" si="64"/>
        <v>11.578757912300178</v>
      </c>
      <c r="FM11" s="130">
        <v>10.673904077998635</v>
      </c>
      <c r="FN11" s="111">
        <v>68.8</v>
      </c>
      <c r="FO11" s="147">
        <f t="shared" si="65"/>
        <v>2.8328038767746637</v>
      </c>
      <c r="FP11" s="148">
        <f t="shared" si="66"/>
        <v>4.0485170909027604</v>
      </c>
      <c r="FQ11" s="149">
        <f t="shared" si="67"/>
        <v>1.2575657581637321</v>
      </c>
      <c r="FR11" s="150">
        <f t="shared" si="68"/>
        <v>4.1174474953120113E-2</v>
      </c>
      <c r="FS11" s="151">
        <f t="shared" si="68"/>
        <v>5.8844725158470355E-2</v>
      </c>
      <c r="FT11" s="122">
        <f t="shared" si="68"/>
        <v>1.8278572066333314E-2</v>
      </c>
      <c r="FU11" s="152">
        <f t="shared" si="69"/>
        <v>1.5934521806857485</v>
      </c>
      <c r="FV11" s="140">
        <f t="shared" si="70"/>
        <v>0.92157949697060759</v>
      </c>
      <c r="FW11" s="153">
        <f t="shared" si="71"/>
        <v>0.7366660889484975</v>
      </c>
      <c r="FX11" s="152">
        <f t="shared" si="72"/>
        <v>2.1095996790041633</v>
      </c>
      <c r="FY11" s="140">
        <f t="shared" si="73"/>
        <v>0.66971221238894285</v>
      </c>
      <c r="FZ11" s="140">
        <f t="shared" si="176"/>
        <v>47.922133842471595</v>
      </c>
      <c r="GA11" s="153">
        <f t="shared" si="176"/>
        <v>38.306636625321872</v>
      </c>
      <c r="GB11" s="152">
        <f t="shared" si="74"/>
        <v>4.8100863721221979E-2</v>
      </c>
      <c r="GC11" s="154">
        <f t="shared" si="75"/>
        <v>1.8278572066333314E-2</v>
      </c>
      <c r="GD11" s="152">
        <f t="shared" si="76"/>
        <v>4.1174474953120113E-2</v>
      </c>
      <c r="GE11" s="154">
        <f t="shared" si="77"/>
        <v>2.5152829735840987E-2</v>
      </c>
      <c r="GF11" s="155">
        <f t="shared" si="78"/>
        <v>2.1810388593282794E-2</v>
      </c>
      <c r="GG11" s="152">
        <f t="shared" si="79"/>
        <v>240.71829519334929</v>
      </c>
      <c r="GH11" s="134">
        <f t="shared" si="80"/>
        <v>36.639197523665608</v>
      </c>
      <c r="GI11" s="130">
        <f t="shared" si="81"/>
        <v>36.639197523665608</v>
      </c>
      <c r="GJ11" s="152">
        <f t="shared" si="82"/>
        <v>1.0261716238797574</v>
      </c>
      <c r="GK11" s="154">
        <f t="shared" si="82"/>
        <v>0.91719651781477418</v>
      </c>
      <c r="GL11" s="152">
        <f t="shared" si="82"/>
        <v>1</v>
      </c>
      <c r="GM11" s="154">
        <f t="shared" si="82"/>
        <v>0.915445575296429</v>
      </c>
      <c r="GN11" s="154">
        <f t="shared" si="82"/>
        <v>0.99444467481936227</v>
      </c>
      <c r="GO11" s="112">
        <f t="shared" si="177"/>
        <v>0.54028916038433561</v>
      </c>
      <c r="GP11" s="156">
        <f t="shared" si="177"/>
        <v>0.9137622074910724</v>
      </c>
      <c r="GQ11" s="115">
        <f t="shared" si="177"/>
        <v>0.21164316093860588</v>
      </c>
      <c r="GR11" s="117">
        <f t="shared" si="204"/>
        <v>407.89778485698292</v>
      </c>
      <c r="GS11" s="135">
        <f t="shared" si="178"/>
        <v>1738.511773142335</v>
      </c>
      <c r="GT11" s="5">
        <f t="shared" si="178"/>
        <v>403.23065006445165</v>
      </c>
      <c r="GU11" s="130">
        <f t="shared" si="83"/>
        <v>443.54327191905338</v>
      </c>
      <c r="GV11" s="145">
        <f t="shared" si="84"/>
        <v>1041.2939909120853</v>
      </c>
      <c r="GW11" s="134">
        <f t="shared" si="85"/>
        <v>439.63386497056371</v>
      </c>
      <c r="GX11" s="157">
        <f t="shared" si="179"/>
        <v>0.63117684690065556</v>
      </c>
      <c r="GY11" s="154">
        <f t="shared" si="86"/>
        <v>0.21164316093860588</v>
      </c>
      <c r="GZ11" s="157">
        <f t="shared" si="86"/>
        <v>0.63117684690065567</v>
      </c>
      <c r="HA11" s="154">
        <f t="shared" si="86"/>
        <v>0.29123852632060804</v>
      </c>
      <c r="HB11" s="155">
        <f t="shared" si="86"/>
        <v>0.23280199574857613</v>
      </c>
      <c r="HC11" s="157">
        <f t="shared" si="87"/>
        <v>0.61507922477362753</v>
      </c>
      <c r="HD11" s="154">
        <f t="shared" si="88"/>
        <v>0.23075007027157809</v>
      </c>
      <c r="HE11" s="144">
        <v>68.8</v>
      </c>
      <c r="HF11" s="146"/>
      <c r="HG11" s="158">
        <f t="shared" si="89"/>
        <v>108.62396287756812</v>
      </c>
      <c r="HH11" s="2">
        <f t="shared" si="90"/>
        <v>95.639736480141707</v>
      </c>
      <c r="HI11" s="2">
        <f t="shared" si="91"/>
        <v>100.21842425899823</v>
      </c>
      <c r="HJ11" s="2">
        <f t="shared" si="92"/>
        <v>101.5748031496063</v>
      </c>
      <c r="HK11" s="2">
        <f t="shared" si="93"/>
        <v>118.28339736143127</v>
      </c>
      <c r="HL11" s="2">
        <f t="shared" si="180"/>
        <v>98.314150607578739</v>
      </c>
      <c r="HM11" s="2">
        <f t="shared" si="94"/>
        <v>122.2921168811921</v>
      </c>
      <c r="HN11" s="2">
        <f t="shared" si="95"/>
        <v>104.79403508832779</v>
      </c>
      <c r="HO11" s="2">
        <f t="shared" si="181"/>
        <v>91.959476627346191</v>
      </c>
      <c r="HP11" s="2">
        <f t="shared" si="96"/>
        <v>88.861127286761317</v>
      </c>
      <c r="HQ11" s="2">
        <f t="shared" si="182"/>
        <v>87.334498496136774</v>
      </c>
      <c r="HR11" s="159">
        <f t="shared" si="97"/>
        <v>112.5084840926968</v>
      </c>
      <c r="HS11" s="12">
        <f t="shared" si="98"/>
        <v>124.51278754214752</v>
      </c>
      <c r="HT11" s="12">
        <f t="shared" si="99"/>
        <v>89.732037426757302</v>
      </c>
      <c r="HU11" s="12">
        <f t="shared" si="100"/>
        <v>97.678479135338875</v>
      </c>
      <c r="HV11" s="12">
        <f t="shared" si="101"/>
        <v>111.04885006227443</v>
      </c>
      <c r="HW11" s="12">
        <f t="shared" si="183"/>
        <v>92.663380445974568</v>
      </c>
      <c r="HX11" s="12">
        <f t="shared" si="102"/>
        <v>113.74025454125911</v>
      </c>
      <c r="HY11" s="12">
        <f t="shared" si="103"/>
        <v>110.23580984023967</v>
      </c>
      <c r="HZ11" s="12">
        <f t="shared" si="104"/>
        <v>86.486515285644799</v>
      </c>
      <c r="IA11" s="12">
        <f t="shared" si="105"/>
        <v>89.595736546290411</v>
      </c>
      <c r="IB11" s="12">
        <f t="shared" si="184"/>
        <v>91.719651781477424</v>
      </c>
      <c r="IC11" s="158">
        <f t="shared" si="106"/>
        <v>123.66034297457833</v>
      </c>
      <c r="ID11" s="2">
        <f t="shared" si="107"/>
        <v>99.859138935674636</v>
      </c>
      <c r="IE11" s="2">
        <f t="shared" si="108"/>
        <v>104.64410575472604</v>
      </c>
      <c r="IF11" s="2">
        <f t="shared" si="109"/>
        <v>101.5748031496063</v>
      </c>
      <c r="IG11" s="2">
        <f t="shared" si="110"/>
        <v>118.96832514904743</v>
      </c>
      <c r="IH11" s="2">
        <f t="shared" si="185"/>
        <v>98.314150607578767</v>
      </c>
      <c r="II11" s="2">
        <f t="shared" si="111"/>
        <v>121.56481768242939</v>
      </c>
      <c r="IJ11" s="2">
        <f t="shared" si="112"/>
        <v>104.79403508832779</v>
      </c>
      <c r="IK11" s="2">
        <f t="shared" si="113"/>
        <v>104.39882697947216</v>
      </c>
      <c r="IL11" s="2">
        <f t="shared" si="114"/>
        <v>80.86110556386511</v>
      </c>
      <c r="IM11" s="2">
        <f t="shared" si="186"/>
        <v>100</v>
      </c>
      <c r="IN11" s="159">
        <f t="shared" si="115"/>
        <v>111.13078307226114</v>
      </c>
      <c r="IO11" s="12">
        <f t="shared" si="116"/>
        <v>91.468763006703597</v>
      </c>
      <c r="IP11" s="12">
        <f t="shared" si="117"/>
        <v>100.49710383631411</v>
      </c>
      <c r="IQ11" s="12">
        <f t="shared" si="118"/>
        <v>97.678479135338875</v>
      </c>
      <c r="IR11" s="12">
        <f t="shared" si="119"/>
        <v>111.04885006227443</v>
      </c>
      <c r="IS11" s="12">
        <f t="shared" si="187"/>
        <v>93.64582839890933</v>
      </c>
      <c r="IT11" s="12">
        <f t="shared" si="120"/>
        <v>113.74025454125911</v>
      </c>
      <c r="IU11" s="12">
        <f t="shared" si="121"/>
        <v>109.86265701639464</v>
      </c>
      <c r="IV11" s="12">
        <f t="shared" si="122"/>
        <v>96.645501252575883</v>
      </c>
      <c r="IW11" s="12">
        <f t="shared" si="123"/>
        <v>82.468294215872092</v>
      </c>
      <c r="IX11" s="12">
        <f t="shared" si="188"/>
        <v>91.544557529642901</v>
      </c>
      <c r="IY11" s="160">
        <f t="shared" si="124"/>
        <v>113.02677321953108</v>
      </c>
      <c r="IZ11" s="25">
        <f t="shared" si="125"/>
        <v>90.070520656131364</v>
      </c>
      <c r="JA11" s="25">
        <f t="shared" si="126"/>
        <v>100.24792873584154</v>
      </c>
      <c r="JB11" s="25">
        <f t="shared" si="127"/>
        <v>97.678479135338875</v>
      </c>
      <c r="JC11" s="25">
        <f t="shared" si="128"/>
        <v>111.04885006227443</v>
      </c>
      <c r="JD11" s="25">
        <f t="shared" si="189"/>
        <v>92.198810197455899</v>
      </c>
      <c r="JE11" s="25">
        <f t="shared" si="129"/>
        <v>104.85170999998661</v>
      </c>
      <c r="JF11" s="25">
        <f t="shared" si="130"/>
        <v>111.32002721299116</v>
      </c>
      <c r="JG11" s="25">
        <f t="shared" si="131"/>
        <v>96.894427687823153</v>
      </c>
      <c r="JH11" s="25">
        <f t="shared" si="132"/>
        <v>87.945115295495143</v>
      </c>
      <c r="JI11" s="25">
        <f t="shared" si="190"/>
        <v>99.444467481936229</v>
      </c>
    </row>
    <row r="12" spans="1:269" x14ac:dyDescent="0.35">
      <c r="A12" s="109">
        <v>1997</v>
      </c>
      <c r="B12" s="110">
        <v>438289000000</v>
      </c>
      <c r="C12" s="111">
        <v>60.8</v>
      </c>
      <c r="D12" s="112">
        <f t="shared" si="133"/>
        <v>0.60799999999999998</v>
      </c>
      <c r="E12" s="111">
        <f t="shared" si="134"/>
        <v>7208700657.8947372</v>
      </c>
      <c r="F12" s="113">
        <f t="shared" si="135"/>
        <v>720870065789.47375</v>
      </c>
      <c r="G12" s="114">
        <v>29175000000</v>
      </c>
      <c r="H12" s="110">
        <v>8190000000</v>
      </c>
      <c r="I12" s="110">
        <v>192911000000</v>
      </c>
      <c r="J12" s="110">
        <v>58373000000</v>
      </c>
      <c r="K12" s="112">
        <v>69.7</v>
      </c>
      <c r="L12" s="112">
        <f t="shared" si="136"/>
        <v>0.69700000000000006</v>
      </c>
      <c r="M12" s="112">
        <f t="shared" si="137"/>
        <v>418579626.97274029</v>
      </c>
      <c r="N12" s="112">
        <f t="shared" si="138"/>
        <v>2767733142.0373025</v>
      </c>
      <c r="O12" s="112">
        <f t="shared" si="139"/>
        <v>2767733142.0373025</v>
      </c>
      <c r="P12" s="112">
        <f t="shared" si="140"/>
        <v>41857962697.274025</v>
      </c>
      <c r="Q12" s="112">
        <f t="shared" si="141"/>
        <v>11750358680.057388</v>
      </c>
      <c r="R12" s="112">
        <f t="shared" si="142"/>
        <v>276773314203.73022</v>
      </c>
      <c r="S12" s="115">
        <f t="shared" si="143"/>
        <v>330381635581.06165</v>
      </c>
      <c r="T12" s="112">
        <f t="shared" si="144"/>
        <v>837489239.59827828</v>
      </c>
      <c r="U12" s="115">
        <f t="shared" si="145"/>
        <v>83748923959.82782</v>
      </c>
      <c r="V12" s="116">
        <f t="shared" si="146"/>
        <v>1135000625330.3633</v>
      </c>
      <c r="W12" s="117">
        <f t="shared" si="147"/>
        <v>726938000000</v>
      </c>
      <c r="X12" s="112">
        <v>60.545774999999999</v>
      </c>
      <c r="Y12" s="112">
        <f t="shared" si="148"/>
        <v>0.60545775000000002</v>
      </c>
      <c r="Z12" s="112">
        <f t="shared" si="149"/>
        <v>1200641993599.0579</v>
      </c>
      <c r="AA12" s="115">
        <v>0.27200000000000002</v>
      </c>
      <c r="AB12" s="115">
        <v>0.308</v>
      </c>
      <c r="AC12" s="115">
        <f t="shared" si="150"/>
        <v>0.58000000000000007</v>
      </c>
      <c r="AD12" s="118">
        <v>0.27453081416097047</v>
      </c>
      <c r="AE12" s="115">
        <f t="shared" si="151"/>
        <v>0.85453081416097054</v>
      </c>
      <c r="AF12" s="115">
        <f t="shared" si="152"/>
        <v>0.14546918583902946</v>
      </c>
      <c r="AG12" s="119">
        <v>0.26875639501501536</v>
      </c>
      <c r="AH12" s="119">
        <v>0.30357492595288343</v>
      </c>
      <c r="AI12" s="119">
        <f t="shared" si="153"/>
        <v>0.57233132096789885</v>
      </c>
      <c r="AJ12" s="16">
        <v>2726000</v>
      </c>
      <c r="AK12" s="120">
        <v>21098000</v>
      </c>
      <c r="AL12" s="121">
        <f t="shared" si="154"/>
        <v>23824000</v>
      </c>
      <c r="AM12" s="122">
        <v>0.19035409999999997</v>
      </c>
      <c r="AN12" s="123">
        <f t="shared" si="191"/>
        <v>4016090.8017999995</v>
      </c>
      <c r="AO12" s="124">
        <v>0.82024554088487378</v>
      </c>
      <c r="AP12" s="123">
        <f t="shared" si="155"/>
        <v>17305540.421589065</v>
      </c>
      <c r="AQ12" s="125">
        <v>0.50031680000000001</v>
      </c>
      <c r="AR12" s="123">
        <f t="shared" si="156"/>
        <v>8658252.6060000919</v>
      </c>
      <c r="AS12" s="123">
        <f t="shared" si="157"/>
        <v>8647287.8155889735</v>
      </c>
      <c r="AT12" s="115">
        <f t="shared" si="0"/>
        <v>435.50415206194214</v>
      </c>
      <c r="AU12" s="126">
        <v>0.61320750000000002</v>
      </c>
      <c r="AV12" s="123">
        <f t="shared" si="1"/>
        <v>2462697.0003447733</v>
      </c>
      <c r="AW12" s="123">
        <f t="shared" si="158"/>
        <v>1553393.8014552263</v>
      </c>
      <c r="AX12" s="127">
        <f t="shared" si="159"/>
        <v>11120949.606344866</v>
      </c>
      <c r="AY12" s="127">
        <f t="shared" si="159"/>
        <v>10200681.617044199</v>
      </c>
      <c r="AZ12" s="16">
        <f t="shared" si="2"/>
        <v>55770767983.873222</v>
      </c>
      <c r="BA12" s="16">
        <f t="shared" si="3"/>
        <v>27978155975.954597</v>
      </c>
      <c r="BB12" s="16">
        <f t="shared" si="4"/>
        <v>196076657894.73688</v>
      </c>
      <c r="BC12" s="16">
        <f t="shared" si="5"/>
        <v>222027980263.15793</v>
      </c>
      <c r="BD12" s="17">
        <f t="shared" si="6"/>
        <v>197901046065.45657</v>
      </c>
      <c r="BE12" s="16">
        <f t="shared" si="160"/>
        <v>616005684223.35132</v>
      </c>
      <c r="BF12" s="117">
        <v>720870065789.47375</v>
      </c>
      <c r="BG12" s="116">
        <f t="shared" si="161"/>
        <v>0.85453081416097043</v>
      </c>
      <c r="BH12" s="115">
        <v>0.85453081416097054</v>
      </c>
      <c r="BI12" s="17">
        <v>18482008.603810705</v>
      </c>
      <c r="BJ12" s="7">
        <f t="shared" si="162"/>
        <v>616005684223.35144</v>
      </c>
      <c r="BK12" s="16">
        <f t="shared" si="163"/>
        <v>251847425878.61011</v>
      </c>
      <c r="BL12" s="112">
        <f t="shared" si="7"/>
        <v>30258.14581050511</v>
      </c>
      <c r="BM12" s="112">
        <f t="shared" si="8"/>
        <v>25856.517974452294</v>
      </c>
      <c r="BN12" s="115">
        <f t="shared" si="9"/>
        <v>22646.215907220991</v>
      </c>
      <c r="BO12" s="112">
        <f t="shared" si="164"/>
        <v>581.88741943279058</v>
      </c>
      <c r="BP12" s="112">
        <f t="shared" si="164"/>
        <v>497.24073027792872</v>
      </c>
      <c r="BQ12" s="115">
        <f t="shared" si="164"/>
        <v>435.50415206194214</v>
      </c>
      <c r="BR12" s="112">
        <f t="shared" si="10"/>
        <v>414130559540.88953</v>
      </c>
      <c r="BS12" s="115">
        <f t="shared" si="11"/>
        <v>883153199451.75317</v>
      </c>
      <c r="BT12" s="112">
        <f t="shared" si="12"/>
        <v>414130559540.88947</v>
      </c>
      <c r="BU12" s="115">
        <f t="shared" si="13"/>
        <v>580387771820.17419</v>
      </c>
      <c r="BV12" s="118">
        <f t="shared" si="14"/>
        <v>778288817885.63074</v>
      </c>
      <c r="BW12" s="112">
        <f t="shared" si="15"/>
        <v>47641.060499091807</v>
      </c>
      <c r="BX12" s="115">
        <f t="shared" si="16"/>
        <v>102059.68604360982</v>
      </c>
      <c r="BY12" s="128">
        <f t="shared" si="17"/>
        <v>975836153723.67603</v>
      </c>
      <c r="BZ12" s="119">
        <f t="shared" si="18"/>
        <v>1032977548818.8115</v>
      </c>
      <c r="CA12" s="113">
        <v>38.6</v>
      </c>
      <c r="CB12" s="113">
        <v>15.3</v>
      </c>
      <c r="CC12" s="113">
        <v>9.3000000000000007</v>
      </c>
      <c r="CD12" s="113">
        <v>16932174.768628765</v>
      </c>
      <c r="CE12" s="113">
        <v>5755978.0264617018</v>
      </c>
      <c r="CF12" s="113">
        <v>1244859.7070468005</v>
      </c>
      <c r="CG12" s="113">
        <f t="shared" si="165"/>
        <v>23933012.502137266</v>
      </c>
      <c r="CH12" s="113">
        <v>23824000</v>
      </c>
      <c r="CI12" s="113">
        <f t="shared" si="166"/>
        <v>-109012.5021372661</v>
      </c>
      <c r="CJ12" s="122">
        <f t="shared" si="167"/>
        <v>0.70748196730840662</v>
      </c>
      <c r="CK12" s="122">
        <f t="shared" si="168"/>
        <v>0.24050369864419205</v>
      </c>
      <c r="CL12" s="122">
        <f t="shared" si="169"/>
        <v>5.2014334047401349E-2</v>
      </c>
      <c r="CM12" s="129">
        <f t="shared" si="19"/>
        <v>31.472243834001468</v>
      </c>
      <c r="CN12" s="16">
        <v>877330022.94291627</v>
      </c>
      <c r="CO12" s="16">
        <f t="shared" si="20"/>
        <v>753225605.14946961</v>
      </c>
      <c r="CP12" s="130">
        <v>31.31</v>
      </c>
      <c r="CQ12" s="131">
        <f t="shared" si="192"/>
        <v>31.634487668002937</v>
      </c>
      <c r="CR12" s="5">
        <v>34.49</v>
      </c>
      <c r="CS12" s="132">
        <v>40.78</v>
      </c>
      <c r="CT12" s="5">
        <f t="shared" si="21"/>
        <v>35.88289940881765</v>
      </c>
      <c r="CU12" s="5">
        <v>32.74</v>
      </c>
      <c r="CV12" s="5">
        <v>43</v>
      </c>
      <c r="CW12" s="133"/>
      <c r="CX12" s="134">
        <v>34.85</v>
      </c>
      <c r="CY12" s="5">
        <f t="shared" si="193"/>
        <v>33.671379046812454</v>
      </c>
      <c r="CZ12" s="5">
        <f t="shared" si="170"/>
        <v>36.464757222270364</v>
      </c>
      <c r="DA12" s="5">
        <f t="shared" si="194"/>
        <v>36.054463487411702</v>
      </c>
      <c r="DB12" s="117">
        <f t="shared" si="171"/>
        <v>1896.1673755580589</v>
      </c>
      <c r="DC12" s="135">
        <f t="shared" si="171"/>
        <v>1874.8321013454085</v>
      </c>
      <c r="DD12" s="5">
        <f t="shared" si="22"/>
        <v>1865.9107692585178</v>
      </c>
      <c r="DE12" s="131">
        <f t="shared" si="23"/>
        <v>378768541.65165257</v>
      </c>
      <c r="DF12" s="5">
        <f t="shared" si="24"/>
        <v>298623132.38094318</v>
      </c>
      <c r="DG12" s="131">
        <f t="shared" si="25"/>
        <v>464233282.80172831</v>
      </c>
      <c r="DH12" s="5">
        <f t="shared" si="26"/>
        <v>100428783.67405985</v>
      </c>
      <c r="DI12" s="7">
        <f t="shared" si="195"/>
        <v>868736376.06336915</v>
      </c>
      <c r="DJ12" s="136">
        <f t="shared" si="172"/>
        <v>1234804544.8108547</v>
      </c>
      <c r="DK12" s="16">
        <f t="shared" si="27"/>
        <v>399051916.05500305</v>
      </c>
      <c r="DL12" s="7">
        <f t="shared" si="196"/>
        <v>45174291555.295197</v>
      </c>
      <c r="DM12" s="136">
        <f t="shared" si="196"/>
        <v>64209836330.164444</v>
      </c>
      <c r="DN12" s="16">
        <f t="shared" si="173"/>
        <v>20750699634.860157</v>
      </c>
      <c r="DO12" s="117">
        <f t="shared" si="197"/>
        <v>1896.1673755580589</v>
      </c>
      <c r="DP12" s="135">
        <f t="shared" si="198"/>
        <v>1874.8321013454085</v>
      </c>
      <c r="DQ12" s="5">
        <f t="shared" si="28"/>
        <v>1865.9107692585176</v>
      </c>
      <c r="DR12" s="117">
        <f t="shared" si="29"/>
        <v>25.124923629207903</v>
      </c>
      <c r="DS12" s="135">
        <f t="shared" si="199"/>
        <v>17.676429192160448</v>
      </c>
      <c r="DT12" s="5">
        <f t="shared" si="30"/>
        <v>54.696981080272494</v>
      </c>
      <c r="DU12" s="137">
        <f t="shared" si="31"/>
        <v>21.470021444599233</v>
      </c>
      <c r="DV12" s="138">
        <f t="shared" si="32"/>
        <v>40.106368090870056</v>
      </c>
      <c r="DW12" s="130">
        <f t="shared" si="33"/>
        <v>49.643446336318341</v>
      </c>
      <c r="DX12" s="137">
        <v>21.601581787491064</v>
      </c>
      <c r="DY12" s="138">
        <v>49.7803720836217</v>
      </c>
      <c r="DZ12" s="137">
        <f t="shared" si="34"/>
        <v>25.124923629207899</v>
      </c>
      <c r="EA12" s="138">
        <v>36.602130898370163</v>
      </c>
      <c r="EB12" s="130">
        <v>45.216019664552881</v>
      </c>
      <c r="EC12" s="139">
        <f t="shared" si="35"/>
        <v>0.57448710827983551</v>
      </c>
      <c r="ED12" s="140">
        <f t="shared" si="36"/>
        <v>3.5066993294481041</v>
      </c>
      <c r="EE12" s="139">
        <f t="shared" si="37"/>
        <v>0.5744871082798354</v>
      </c>
      <c r="EF12" s="141">
        <f t="shared" si="38"/>
        <v>3.0903187323453691</v>
      </c>
      <c r="EG12" s="142">
        <f t="shared" si="39"/>
        <v>2.3045213577045645</v>
      </c>
      <c r="EH12" s="117">
        <f t="shared" si="40"/>
        <v>23.159768683091336</v>
      </c>
      <c r="EI12" s="117">
        <f t="shared" si="41"/>
        <v>13.304988539179028</v>
      </c>
      <c r="EJ12" s="135">
        <f t="shared" si="42"/>
        <v>8.8145853285957116</v>
      </c>
      <c r="EK12" s="135">
        <f t="shared" si="43"/>
        <v>27.239878158815991</v>
      </c>
      <c r="EL12" s="143">
        <f t="shared" si="44"/>
        <v>10.858728246726528</v>
      </c>
      <c r="EM12" s="143">
        <f t="shared" si="45"/>
        <v>25.024171162091122</v>
      </c>
      <c r="EN12" s="144">
        <f t="shared" si="46"/>
        <v>24.51592000786302</v>
      </c>
      <c r="EO12" s="145">
        <f t="shared" si="47"/>
        <v>14.084079992136981</v>
      </c>
      <c r="EP12" s="146">
        <f t="shared" si="48"/>
        <v>10.858728246726528</v>
      </c>
      <c r="EQ12" s="134">
        <f t="shared" si="49"/>
        <v>25.024171162091122</v>
      </c>
      <c r="ER12" s="130">
        <f t="shared" si="50"/>
        <v>8.7726413897927618</v>
      </c>
      <c r="ES12" s="130">
        <f t="shared" si="51"/>
        <v>27.11025801902489</v>
      </c>
      <c r="ET12" s="117">
        <f t="shared" si="200"/>
        <v>11.944757222270365</v>
      </c>
      <c r="EU12" s="135">
        <f t="shared" si="201"/>
        <v>26.5644634874117</v>
      </c>
      <c r="EV12" s="5">
        <f t="shared" si="52"/>
        <v>24.272899408817651</v>
      </c>
      <c r="EW12" s="145">
        <f t="shared" si="53"/>
        <v>14.14</v>
      </c>
      <c r="EX12" s="134">
        <f t="shared" si="54"/>
        <v>24.21689940881765</v>
      </c>
      <c r="EY12" s="130">
        <f t="shared" si="55"/>
        <v>26.412899408817651</v>
      </c>
      <c r="EZ12" s="117">
        <f t="shared" si="202"/>
        <v>48.71434429963444</v>
      </c>
      <c r="FA12" s="135">
        <f t="shared" si="203"/>
        <v>279.92058469348473</v>
      </c>
      <c r="FB12" s="5">
        <f t="shared" si="174"/>
        <v>209.06890102340788</v>
      </c>
      <c r="FC12" s="145">
        <f t="shared" si="56"/>
        <v>57.808667211774321</v>
      </c>
      <c r="FD12" s="134">
        <f t="shared" si="57"/>
        <v>207.58528552046673</v>
      </c>
      <c r="FE12" s="130">
        <f t="shared" si="58"/>
        <v>278.91129259575132</v>
      </c>
      <c r="FF12" s="117">
        <f t="shared" si="59"/>
        <v>13.636200215100995</v>
      </c>
      <c r="FG12" s="135">
        <f t="shared" si="175"/>
        <v>16.139122958685952</v>
      </c>
      <c r="FH12" s="5">
        <f t="shared" si="60"/>
        <v>12.136816122359498</v>
      </c>
      <c r="FI12" s="145">
        <f t="shared" si="61"/>
        <v>13.636200215100994</v>
      </c>
      <c r="FJ12" s="134">
        <f t="shared" si="62"/>
        <v>12.136816122359498</v>
      </c>
      <c r="FK12" s="145">
        <f t="shared" si="63"/>
        <v>15.957528961070681</v>
      </c>
      <c r="FL12" s="134">
        <f t="shared" si="64"/>
        <v>12.136816122359498</v>
      </c>
      <c r="FM12" s="130">
        <v>10.961971933439195</v>
      </c>
      <c r="FN12" s="111">
        <v>70.099999999999994</v>
      </c>
      <c r="FO12" s="147">
        <f t="shared" si="65"/>
        <v>2.7900582319982954</v>
      </c>
      <c r="FP12" s="148">
        <f t="shared" si="66"/>
        <v>3.9657330809261842</v>
      </c>
      <c r="FQ12" s="149">
        <f t="shared" si="67"/>
        <v>1.2816063814769274</v>
      </c>
      <c r="FR12" s="150">
        <f t="shared" si="68"/>
        <v>3.9801116005681821E-2</v>
      </c>
      <c r="FS12" s="151">
        <f t="shared" si="68"/>
        <v>5.6572511853440574E-2</v>
      </c>
      <c r="FT12" s="122">
        <f t="shared" si="68"/>
        <v>1.8282544671568153E-2</v>
      </c>
      <c r="FU12" s="152">
        <f t="shared" si="69"/>
        <v>1.5363230778193184</v>
      </c>
      <c r="FV12" s="140">
        <f t="shared" si="70"/>
        <v>0.8946933147254027</v>
      </c>
      <c r="FW12" s="153">
        <f t="shared" si="71"/>
        <v>0.72281241648137351</v>
      </c>
      <c r="FX12" s="152">
        <f t="shared" si="72"/>
        <v>2.0199630414353611</v>
      </c>
      <c r="FY12" s="140">
        <f t="shared" si="73"/>
        <v>0.65603071138709523</v>
      </c>
      <c r="FZ12" s="140">
        <f t="shared" si="176"/>
        <v>46.524052365720941</v>
      </c>
      <c r="GA12" s="153">
        <f t="shared" si="176"/>
        <v>37.586245657031419</v>
      </c>
      <c r="GB12" s="152">
        <f t="shared" si="74"/>
        <v>4.6576572016026052E-2</v>
      </c>
      <c r="GC12" s="154">
        <f t="shared" si="75"/>
        <v>1.8282544671568157E-2</v>
      </c>
      <c r="GD12" s="152">
        <f t="shared" si="76"/>
        <v>3.9801116005681821E-2</v>
      </c>
      <c r="GE12" s="154">
        <f t="shared" si="77"/>
        <v>2.4933696258266861E-2</v>
      </c>
      <c r="GF12" s="155">
        <f t="shared" si="78"/>
        <v>2.230253158524477E-2</v>
      </c>
      <c r="GG12" s="152">
        <f t="shared" si="79"/>
        <v>260.57770241621614</v>
      </c>
      <c r="GH12" s="134">
        <f t="shared" si="80"/>
        <v>35.88289940881765</v>
      </c>
      <c r="GI12" s="130">
        <f t="shared" si="81"/>
        <v>35.88289940881765</v>
      </c>
      <c r="GJ12" s="152">
        <f t="shared" si="82"/>
        <v>1.0061276297851542</v>
      </c>
      <c r="GK12" s="154">
        <f t="shared" si="82"/>
        <v>0.91011187638609814</v>
      </c>
      <c r="GL12" s="152">
        <f t="shared" si="82"/>
        <v>0.99999999999999989</v>
      </c>
      <c r="GM12" s="154">
        <f t="shared" si="82"/>
        <v>0.91262641422528601</v>
      </c>
      <c r="GN12" s="154">
        <f t="shared" si="82"/>
        <v>1.0084317067277393</v>
      </c>
      <c r="GO12" s="112">
        <f t="shared" si="177"/>
        <v>0.54273598663793809</v>
      </c>
      <c r="GP12" s="156">
        <f t="shared" si="177"/>
        <v>0.91303072488439596</v>
      </c>
      <c r="GQ12" s="115">
        <f t="shared" si="177"/>
        <v>0.22189188292764611</v>
      </c>
      <c r="GR12" s="117">
        <f t="shared" si="204"/>
        <v>420.74414930855079</v>
      </c>
      <c r="GS12" s="135">
        <f t="shared" si="178"/>
        <v>1711.7793125279336</v>
      </c>
      <c r="GT12" s="5">
        <f t="shared" si="178"/>
        <v>414.0304539657451</v>
      </c>
      <c r="GU12" s="130">
        <f t="shared" si="83"/>
        <v>456.1773522692236</v>
      </c>
      <c r="GV12" s="145">
        <f t="shared" si="84"/>
        <v>1029.1182714041729</v>
      </c>
      <c r="GW12" s="134">
        <f t="shared" si="85"/>
        <v>454.92259216503226</v>
      </c>
      <c r="GX12" s="157">
        <f t="shared" si="179"/>
        <v>0.63512746134360143</v>
      </c>
      <c r="GY12" s="154">
        <f t="shared" si="86"/>
        <v>0.22189188292764614</v>
      </c>
      <c r="GZ12" s="157">
        <f t="shared" si="86"/>
        <v>0.63512746134360143</v>
      </c>
      <c r="HA12" s="154">
        <f t="shared" si="86"/>
        <v>0.30261568673734796</v>
      </c>
      <c r="HB12" s="155">
        <f t="shared" si="86"/>
        <v>0.2444797252820943</v>
      </c>
      <c r="HC12" s="157">
        <f t="shared" si="87"/>
        <v>0.63125933782300048</v>
      </c>
      <c r="HD12" s="154">
        <f t="shared" si="88"/>
        <v>0.24380726005767736</v>
      </c>
      <c r="HE12" s="144">
        <v>70.099999999999994</v>
      </c>
      <c r="HF12" s="146"/>
      <c r="HG12" s="158">
        <f t="shared" si="89"/>
        <v>109.98768730901762</v>
      </c>
      <c r="HH12" s="2">
        <f t="shared" si="90"/>
        <v>94.684254632425734</v>
      </c>
      <c r="HI12" s="2">
        <f t="shared" si="91"/>
        <v>97.54390424618056</v>
      </c>
      <c r="HJ12" s="2">
        <f t="shared" si="92"/>
        <v>101.31233595800524</v>
      </c>
      <c r="HK12" s="2">
        <f t="shared" si="93"/>
        <v>121.1423527506949</v>
      </c>
      <c r="HL12" s="2">
        <f t="shared" si="180"/>
        <v>98.9295111127105</v>
      </c>
      <c r="HM12" s="2">
        <f t="shared" si="94"/>
        <v>127.08481095154703</v>
      </c>
      <c r="HN12" s="2">
        <f t="shared" si="95"/>
        <v>103.02668680257445</v>
      </c>
      <c r="HO12" s="2">
        <f t="shared" si="181"/>
        <v>87.571533887612645</v>
      </c>
      <c r="HP12" s="2">
        <f t="shared" si="96"/>
        <v>87.520255716876179</v>
      </c>
      <c r="HQ12" s="2">
        <f t="shared" si="182"/>
        <v>85.628612140116445</v>
      </c>
      <c r="HR12" s="159">
        <f t="shared" si="97"/>
        <v>111.61518404399484</v>
      </c>
      <c r="HS12" s="12">
        <f t="shared" si="98"/>
        <v>126.70628059190814</v>
      </c>
      <c r="HT12" s="12">
        <f t="shared" si="99"/>
        <v>86.469147070114445</v>
      </c>
      <c r="HU12" s="12">
        <f t="shared" si="100"/>
        <v>95.662221831025462</v>
      </c>
      <c r="HV12" s="12">
        <f t="shared" si="101"/>
        <v>113.99831670712305</v>
      </c>
      <c r="HW12" s="12">
        <f t="shared" si="183"/>
        <v>97.150561702121792</v>
      </c>
      <c r="HX12" s="12">
        <f t="shared" si="102"/>
        <v>119.22216230215616</v>
      </c>
      <c r="HY12" s="12">
        <f t="shared" si="103"/>
        <v>103.77736203110048</v>
      </c>
      <c r="HZ12" s="12">
        <f t="shared" si="104"/>
        <v>83.873183859079646</v>
      </c>
      <c r="IA12" s="12">
        <f t="shared" si="105"/>
        <v>91.308519626455364</v>
      </c>
      <c r="IB12" s="12">
        <f t="shared" si="184"/>
        <v>91.011187638609812</v>
      </c>
      <c r="IC12" s="158">
        <f t="shared" si="106"/>
        <v>127.92730972101781</v>
      </c>
      <c r="ID12" s="2">
        <f t="shared" si="107"/>
        <v>100.22452069769439</v>
      </c>
      <c r="IE12" s="2">
        <f t="shared" si="108"/>
        <v>103.25571841742655</v>
      </c>
      <c r="IF12" s="2">
        <f t="shared" si="109"/>
        <v>101.31233595800524</v>
      </c>
      <c r="IG12" s="2">
        <f t="shared" si="110"/>
        <v>121.63430962693644</v>
      </c>
      <c r="IH12" s="2">
        <f t="shared" si="185"/>
        <v>98.9295111127105</v>
      </c>
      <c r="II12" s="2">
        <f t="shared" si="111"/>
        <v>126.54662142006885</v>
      </c>
      <c r="IJ12" s="2">
        <f t="shared" si="112"/>
        <v>103.02668680257445</v>
      </c>
      <c r="IK12" s="2">
        <f t="shared" si="113"/>
        <v>103.66568914956011</v>
      </c>
      <c r="IL12" s="2">
        <f t="shared" si="114"/>
        <v>78.164014150985508</v>
      </c>
      <c r="IM12" s="2">
        <f t="shared" si="186"/>
        <v>99.999999999999986</v>
      </c>
      <c r="IN12" s="159">
        <f t="shared" si="115"/>
        <v>111.7622317507486</v>
      </c>
      <c r="IO12" s="12">
        <f t="shared" si="116"/>
        <v>93.08013240807928</v>
      </c>
      <c r="IP12" s="12">
        <f t="shared" si="117"/>
        <v>96.842767655151391</v>
      </c>
      <c r="IQ12" s="12">
        <f t="shared" si="118"/>
        <v>95.662221831025462</v>
      </c>
      <c r="IR12" s="12">
        <f t="shared" si="119"/>
        <v>113.99831670712305</v>
      </c>
      <c r="IS12" s="12">
        <f t="shared" si="187"/>
        <v>97.304079336767842</v>
      </c>
      <c r="IT12" s="12">
        <f t="shared" si="120"/>
        <v>119.22216230215616</v>
      </c>
      <c r="IU12" s="12">
        <f t="shared" si="121"/>
        <v>104.03502070770085</v>
      </c>
      <c r="IV12" s="12">
        <f t="shared" si="122"/>
        <v>93.718650962916598</v>
      </c>
      <c r="IW12" s="12">
        <f t="shared" si="123"/>
        <v>81.749823797596264</v>
      </c>
      <c r="IX12" s="12">
        <f t="shared" si="188"/>
        <v>91.262641422528603</v>
      </c>
      <c r="IY12" s="160">
        <f t="shared" si="124"/>
        <v>112.08730705144492</v>
      </c>
      <c r="IZ12" s="25">
        <f t="shared" si="125"/>
        <v>92.636128720092515</v>
      </c>
      <c r="JA12" s="25">
        <f t="shared" si="126"/>
        <v>96.684229739746399</v>
      </c>
      <c r="JB12" s="25">
        <f t="shared" si="127"/>
        <v>95.662221831025462</v>
      </c>
      <c r="JC12" s="25">
        <f t="shared" si="128"/>
        <v>113.99831670712305</v>
      </c>
      <c r="JD12" s="25">
        <f t="shared" si="189"/>
        <v>96.823653577067049</v>
      </c>
      <c r="JE12" s="25">
        <f t="shared" si="129"/>
        <v>107.6814531772023</v>
      </c>
      <c r="JF12" s="25">
        <f t="shared" si="130"/>
        <v>104.38925855279962</v>
      </c>
      <c r="JG12" s="25">
        <f t="shared" si="131"/>
        <v>94.197216151275512</v>
      </c>
      <c r="JH12" s="25">
        <f t="shared" si="132"/>
        <v>89.929562843728917</v>
      </c>
      <c r="JI12" s="25">
        <f t="shared" si="190"/>
        <v>100.84317067277394</v>
      </c>
    </row>
    <row r="13" spans="1:269" x14ac:dyDescent="0.35">
      <c r="A13" s="109">
        <v>1998</v>
      </c>
      <c r="B13" s="110">
        <v>462454000000</v>
      </c>
      <c r="C13" s="111">
        <v>62.2</v>
      </c>
      <c r="D13" s="112">
        <f t="shared" si="133"/>
        <v>0.622</v>
      </c>
      <c r="E13" s="111">
        <f t="shared" si="134"/>
        <v>7434951768.4887457</v>
      </c>
      <c r="F13" s="113">
        <f t="shared" si="135"/>
        <v>743495176848.87463</v>
      </c>
      <c r="G13" s="114">
        <v>29407000000</v>
      </c>
      <c r="H13" s="110">
        <v>8357000000</v>
      </c>
      <c r="I13" s="110">
        <v>198829000000</v>
      </c>
      <c r="J13" s="110">
        <v>62026000000</v>
      </c>
      <c r="K13" s="112">
        <v>69.900000000000006</v>
      </c>
      <c r="L13" s="112">
        <f t="shared" si="136"/>
        <v>0.69900000000000007</v>
      </c>
      <c r="M13" s="112">
        <f t="shared" si="137"/>
        <v>420701001.43061513</v>
      </c>
      <c r="N13" s="112">
        <f t="shared" si="138"/>
        <v>2844477825.4649496</v>
      </c>
      <c r="O13" s="112">
        <f t="shared" si="139"/>
        <v>2844477825.4649496</v>
      </c>
      <c r="P13" s="112">
        <f t="shared" si="140"/>
        <v>42070100143.061516</v>
      </c>
      <c r="Q13" s="112">
        <f t="shared" si="141"/>
        <v>11955650929.899857</v>
      </c>
      <c r="R13" s="112">
        <f t="shared" si="142"/>
        <v>284447782546.495</v>
      </c>
      <c r="S13" s="115">
        <f t="shared" si="143"/>
        <v>338473533619.45636</v>
      </c>
      <c r="T13" s="112">
        <f t="shared" si="144"/>
        <v>887353361.94563651</v>
      </c>
      <c r="U13" s="115">
        <f t="shared" si="145"/>
        <v>88735336194.56366</v>
      </c>
      <c r="V13" s="116">
        <f t="shared" si="146"/>
        <v>1170704046662.8948</v>
      </c>
      <c r="W13" s="117">
        <f t="shared" si="147"/>
        <v>761073000000</v>
      </c>
      <c r="X13" s="112">
        <v>61.507749999999994</v>
      </c>
      <c r="Y13" s="112">
        <f t="shared" si="148"/>
        <v>0.61507749999999994</v>
      </c>
      <c r="Z13" s="112">
        <f t="shared" si="149"/>
        <v>1237361145546.6995</v>
      </c>
      <c r="AA13" s="115">
        <v>0.28100000000000003</v>
      </c>
      <c r="AB13" s="115">
        <v>0.32</v>
      </c>
      <c r="AC13" s="115">
        <f t="shared" si="150"/>
        <v>0.60099999999999998</v>
      </c>
      <c r="AD13" s="118">
        <v>0.26323724179246694</v>
      </c>
      <c r="AE13" s="115">
        <f t="shared" si="151"/>
        <v>0.86423724179246686</v>
      </c>
      <c r="AF13" s="115">
        <f t="shared" si="152"/>
        <v>0.13576275820753314</v>
      </c>
      <c r="AG13" s="119">
        <v>0.27649763798852983</v>
      </c>
      <c r="AH13" s="119">
        <v>0.31834568155812892</v>
      </c>
      <c r="AI13" s="119">
        <f t="shared" si="153"/>
        <v>0.5948433195466587</v>
      </c>
      <c r="AJ13" s="16">
        <v>2708000</v>
      </c>
      <c r="AK13" s="120">
        <v>21386000</v>
      </c>
      <c r="AL13" s="121">
        <f t="shared" si="154"/>
        <v>24094000</v>
      </c>
      <c r="AM13" s="122">
        <v>0.17242250000000003</v>
      </c>
      <c r="AN13" s="123">
        <f t="shared" si="191"/>
        <v>3687427.5850000009</v>
      </c>
      <c r="AO13" s="124">
        <v>0.83987316686484348</v>
      </c>
      <c r="AP13" s="123">
        <f t="shared" si="155"/>
        <v>17961527.546571542</v>
      </c>
      <c r="AQ13" s="125">
        <v>0.50287610000000005</v>
      </c>
      <c r="AR13" s="123">
        <f t="shared" si="156"/>
        <v>9032422.9226624668</v>
      </c>
      <c r="AS13" s="123">
        <f t="shared" si="157"/>
        <v>8929104.6239090748</v>
      </c>
      <c r="AT13" s="115">
        <f t="shared" si="0"/>
        <v>444.81238159668226</v>
      </c>
      <c r="AU13" s="126">
        <v>0.56458629999999999</v>
      </c>
      <c r="AV13" s="123">
        <f t="shared" si="1"/>
        <v>2081871.096733086</v>
      </c>
      <c r="AW13" s="123">
        <f t="shared" si="158"/>
        <v>1605556.4882669149</v>
      </c>
      <c r="AX13" s="127">
        <f t="shared" si="159"/>
        <v>11114294.019395553</v>
      </c>
      <c r="AY13" s="127">
        <f t="shared" si="159"/>
        <v>10534661.11217599</v>
      </c>
      <c r="AZ13" s="16">
        <f t="shared" si="2"/>
        <v>48154186117.187325</v>
      </c>
      <c r="BA13" s="16">
        <f t="shared" si="3"/>
        <v>40581150077.376335</v>
      </c>
      <c r="BB13" s="16">
        <f t="shared" si="4"/>
        <v>208922144694.53378</v>
      </c>
      <c r="BC13" s="16">
        <f t="shared" si="5"/>
        <v>237918456591.63989</v>
      </c>
      <c r="BD13" s="17">
        <f t="shared" si="6"/>
        <v>195715619639.70016</v>
      </c>
      <c r="BE13" s="16">
        <f t="shared" si="160"/>
        <v>642556220925.8739</v>
      </c>
      <c r="BF13" s="117">
        <v>743495176848.87463</v>
      </c>
      <c r="BG13" s="116">
        <f t="shared" si="161"/>
        <v>0.86423724179246708</v>
      </c>
      <c r="BH13" s="115">
        <v>0.86423724179246686</v>
      </c>
      <c r="BI13" s="17">
        <v>18945508.33684849</v>
      </c>
      <c r="BJ13" s="7">
        <f t="shared" si="162"/>
        <v>642556220925.87378</v>
      </c>
      <c r="BK13" s="16">
        <f t="shared" si="163"/>
        <v>257076330811.7211</v>
      </c>
      <c r="BL13" s="112">
        <f t="shared" si="7"/>
        <v>30858.104791602666</v>
      </c>
      <c r="BM13" s="112">
        <f t="shared" si="8"/>
        <v>26668.723372037595</v>
      </c>
      <c r="BN13" s="115">
        <f t="shared" si="9"/>
        <v>23130.243843027478</v>
      </c>
      <c r="BO13" s="112">
        <f t="shared" si="164"/>
        <v>593.42509214620509</v>
      </c>
      <c r="BP13" s="112">
        <f t="shared" si="164"/>
        <v>512.86006484687687</v>
      </c>
      <c r="BQ13" s="115">
        <f t="shared" si="164"/>
        <v>444.81238159668226</v>
      </c>
      <c r="BR13" s="112">
        <f t="shared" si="10"/>
        <v>427208869814.02014</v>
      </c>
      <c r="BS13" s="115">
        <f t="shared" si="11"/>
        <v>913627715851.17371</v>
      </c>
      <c r="BT13" s="112">
        <f t="shared" si="12"/>
        <v>427208869814.02002</v>
      </c>
      <c r="BU13" s="115">
        <f t="shared" si="13"/>
        <v>616973140288.47266</v>
      </c>
      <c r="BV13" s="118">
        <f t="shared" si="14"/>
        <v>812688759928.17285</v>
      </c>
      <c r="BW13" s="112">
        <f t="shared" si="15"/>
        <v>48589.02825030691</v>
      </c>
      <c r="BX13" s="115">
        <f t="shared" si="16"/>
        <v>105333.19027010616</v>
      </c>
      <c r="BY13" s="128">
        <f t="shared" si="17"/>
        <v>1037403565584.319</v>
      </c>
      <c r="BZ13" s="119">
        <f t="shared" si="18"/>
        <v>1071389895820.6705</v>
      </c>
      <c r="CA13" s="113">
        <v>38.5</v>
      </c>
      <c r="CB13" s="113">
        <v>15.2</v>
      </c>
      <c r="CC13" s="113">
        <v>9.1</v>
      </c>
      <c r="CD13" s="113">
        <v>17315554.446918875</v>
      </c>
      <c r="CE13" s="113">
        <v>5832804.6739400225</v>
      </c>
      <c r="CF13" s="113">
        <v>1212478.0945696854</v>
      </c>
      <c r="CG13" s="113">
        <f t="shared" si="165"/>
        <v>24360837.215428583</v>
      </c>
      <c r="CH13" s="113">
        <v>24094000</v>
      </c>
      <c r="CI13" s="113">
        <f t="shared" si="166"/>
        <v>-266837.21542858332</v>
      </c>
      <c r="CJ13" s="122">
        <f t="shared" si="167"/>
        <v>0.71079471915490322</v>
      </c>
      <c r="CK13" s="122">
        <f t="shared" si="168"/>
        <v>0.23943367062302359</v>
      </c>
      <c r="CL13" s="122">
        <f t="shared" si="169"/>
        <v>4.9771610222073152E-2</v>
      </c>
      <c r="CM13" s="129">
        <f t="shared" si="19"/>
        <v>31.457910133954595</v>
      </c>
      <c r="CN13" s="16">
        <v>884850560.11771309</v>
      </c>
      <c r="CO13" s="16">
        <f t="shared" si="20"/>
        <v>766341027.91084909</v>
      </c>
      <c r="CP13" s="130">
        <v>31.52</v>
      </c>
      <c r="CQ13" s="131">
        <f t="shared" si="192"/>
        <v>31.39582026790919</v>
      </c>
      <c r="CR13" s="5">
        <v>34.56</v>
      </c>
      <c r="CS13" s="132">
        <v>42.5</v>
      </c>
      <c r="CT13" s="5">
        <f t="shared" si="21"/>
        <v>36.047279037176288</v>
      </c>
      <c r="CU13" s="5">
        <v>33.17</v>
      </c>
      <c r="CV13" s="5">
        <v>44.69</v>
      </c>
      <c r="CW13" s="133"/>
      <c r="CX13" s="134">
        <v>35.380000000000003</v>
      </c>
      <c r="CY13" s="5">
        <f t="shared" si="193"/>
        <v>34.22928941517177</v>
      </c>
      <c r="CZ13" s="5">
        <f t="shared" si="170"/>
        <v>37.278713781785989</v>
      </c>
      <c r="DA13" s="5">
        <f t="shared" si="194"/>
        <v>36.83176982791079</v>
      </c>
      <c r="DB13" s="117">
        <f t="shared" si="171"/>
        <v>1938.4931166528713</v>
      </c>
      <c r="DC13" s="135">
        <f t="shared" si="171"/>
        <v>1915.252031051361</v>
      </c>
      <c r="DD13" s="5">
        <f t="shared" si="22"/>
        <v>1874.4585099331671</v>
      </c>
      <c r="DE13" s="131">
        <f t="shared" si="23"/>
        <v>387670760.68212754</v>
      </c>
      <c r="DF13" s="5">
        <f t="shared" si="24"/>
        <v>312160536.20721489</v>
      </c>
      <c r="DG13" s="131">
        <f t="shared" si="25"/>
        <v>435243592.59011877</v>
      </c>
      <c r="DH13" s="5">
        <f t="shared" si="26"/>
        <v>88479521.611156151</v>
      </c>
      <c r="DI13" s="7">
        <f t="shared" si="195"/>
        <v>898193329.85835159</v>
      </c>
      <c r="DJ13" s="136">
        <f t="shared" si="172"/>
        <v>1285119978.4135025</v>
      </c>
      <c r="DK13" s="16">
        <f t="shared" si="27"/>
        <v>400640057.81837106</v>
      </c>
      <c r="DL13" s="7">
        <f t="shared" si="196"/>
        <v>46706053152.634285</v>
      </c>
      <c r="DM13" s="136">
        <f t="shared" si="196"/>
        <v>66826238877.502129</v>
      </c>
      <c r="DN13" s="16">
        <f t="shared" si="173"/>
        <v>20833283006.555294</v>
      </c>
      <c r="DO13" s="117">
        <f t="shared" si="197"/>
        <v>1938.4931166528715</v>
      </c>
      <c r="DP13" s="135">
        <f t="shared" si="198"/>
        <v>1915.2520310513612</v>
      </c>
      <c r="DQ13" s="5">
        <f t="shared" si="28"/>
        <v>1874.4585099331666</v>
      </c>
      <c r="DR13" s="117">
        <f t="shared" si="29"/>
        <v>25.065360218665049</v>
      </c>
      <c r="DS13" s="135">
        <f t="shared" si="199"/>
        <v>17.518628405960261</v>
      </c>
      <c r="DT13" s="5">
        <f t="shared" si="30"/>
        <v>56.193929986672146</v>
      </c>
      <c r="DU13" s="137">
        <f t="shared" si="31"/>
        <v>21.662417779913707</v>
      </c>
      <c r="DV13" s="138">
        <f t="shared" si="32"/>
        <v>41.954475961622066</v>
      </c>
      <c r="DW13" s="130">
        <f t="shared" si="33"/>
        <v>51.348848398175498</v>
      </c>
      <c r="DX13" s="137">
        <v>22.211330128754586</v>
      </c>
      <c r="DY13" s="138">
        <v>51.4268392304541</v>
      </c>
      <c r="DZ13" s="137">
        <f t="shared" si="34"/>
        <v>25.065360218665049</v>
      </c>
      <c r="EA13" s="138">
        <v>38.193562716766429</v>
      </c>
      <c r="EB13" s="130">
        <v>46.924117126140295</v>
      </c>
      <c r="EC13" s="139">
        <f t="shared" si="35"/>
        <v>0.57459534791421529</v>
      </c>
      <c r="ED13" s="140">
        <f t="shared" si="36"/>
        <v>3.5539161188678281</v>
      </c>
      <c r="EE13" s="139">
        <f t="shared" si="37"/>
        <v>0.57459534791421507</v>
      </c>
      <c r="EF13" s="141">
        <f t="shared" si="38"/>
        <v>3.1612741529416568</v>
      </c>
      <c r="EG13" s="142">
        <f t="shared" si="39"/>
        <v>2.3999608923169768</v>
      </c>
      <c r="EH13" s="117">
        <f t="shared" si="40"/>
        <v>23.67510727830307</v>
      </c>
      <c r="EI13" s="117">
        <f t="shared" si="41"/>
        <v>13.603606503482919</v>
      </c>
      <c r="EJ13" s="135">
        <f t="shared" si="42"/>
        <v>8.8510798554029311</v>
      </c>
      <c r="EK13" s="135">
        <f t="shared" si="43"/>
        <v>27.980689972507861</v>
      </c>
      <c r="EL13" s="143">
        <f t="shared" si="44"/>
        <v>10.602262843267908</v>
      </c>
      <c r="EM13" s="143">
        <f t="shared" si="45"/>
        <v>25.44501619390838</v>
      </c>
      <c r="EN13" s="144">
        <f t="shared" si="46"/>
        <v>24.450726372968745</v>
      </c>
      <c r="EO13" s="145">
        <f t="shared" si="47"/>
        <v>14.049273627031255</v>
      </c>
      <c r="EP13" s="146">
        <f t="shared" si="48"/>
        <v>10.602262843267908</v>
      </c>
      <c r="EQ13" s="134">
        <f t="shared" si="49"/>
        <v>25.44501619390838</v>
      </c>
      <c r="ER13" s="130">
        <f t="shared" si="50"/>
        <v>8.6625580801240929</v>
      </c>
      <c r="ES13" s="130">
        <f t="shared" si="51"/>
        <v>27.384720957052195</v>
      </c>
      <c r="ET13" s="117">
        <f t="shared" si="200"/>
        <v>12.758713781785989</v>
      </c>
      <c r="EU13" s="135">
        <f t="shared" si="201"/>
        <v>27.341769827910788</v>
      </c>
      <c r="EV13" s="5">
        <f t="shared" si="52"/>
        <v>24.437279037176289</v>
      </c>
      <c r="EW13" s="145">
        <f t="shared" si="53"/>
        <v>14.04</v>
      </c>
      <c r="EX13" s="134">
        <f t="shared" si="54"/>
        <v>24.381279037176288</v>
      </c>
      <c r="EY13" s="130">
        <f t="shared" si="55"/>
        <v>26.577279037176289</v>
      </c>
      <c r="EZ13" s="117">
        <f t="shared" si="202"/>
        <v>52.033906124738948</v>
      </c>
      <c r="FA13" s="135">
        <f t="shared" si="203"/>
        <v>288.11137858704728</v>
      </c>
      <c r="FB13" s="5">
        <f t="shared" si="174"/>
        <v>210.48474622890859</v>
      </c>
      <c r="FC13" s="145">
        <f t="shared" si="56"/>
        <v>57.399836467702372</v>
      </c>
      <c r="FD13" s="134">
        <f t="shared" si="57"/>
        <v>208.99433428061278</v>
      </c>
      <c r="FE13" s="130">
        <f t="shared" si="58"/>
        <v>280.64708592583196</v>
      </c>
      <c r="FF13" s="117">
        <f t="shared" si="59"/>
        <v>13.75745064191177</v>
      </c>
      <c r="FG13" s="135">
        <f t="shared" si="175"/>
        <v>16.111772388860686</v>
      </c>
      <c r="FH13" s="5">
        <f t="shared" si="60"/>
        <v>12.339693687779826</v>
      </c>
      <c r="FI13" s="145">
        <f t="shared" si="61"/>
        <v>13.757450641911772</v>
      </c>
      <c r="FJ13" s="134">
        <f t="shared" si="62"/>
        <v>12.339693687779826</v>
      </c>
      <c r="FK13" s="145">
        <f t="shared" si="63"/>
        <v>15.918604263544809</v>
      </c>
      <c r="FL13" s="134">
        <f t="shared" si="64"/>
        <v>12.339693687779826</v>
      </c>
      <c r="FM13" s="130">
        <v>11.467755601958375</v>
      </c>
      <c r="FN13" s="111">
        <v>71.2</v>
      </c>
      <c r="FO13" s="147">
        <f t="shared" si="65"/>
        <v>2.8405735795881584</v>
      </c>
      <c r="FP13" s="148">
        <f t="shared" si="66"/>
        <v>4.0642451195423517</v>
      </c>
      <c r="FQ13" s="149">
        <f t="shared" si="67"/>
        <v>1.267040764311856</v>
      </c>
      <c r="FR13" s="150">
        <f t="shared" si="68"/>
        <v>3.9895696342530311E-2</v>
      </c>
      <c r="FS13" s="151">
        <f t="shared" si="68"/>
        <v>5.7082094375594826E-2</v>
      </c>
      <c r="FT13" s="122">
        <f t="shared" si="68"/>
        <v>1.7795516352694607E-2</v>
      </c>
      <c r="FU13" s="152">
        <f t="shared" si="69"/>
        <v>1.535984309187417</v>
      </c>
      <c r="FV13" s="140">
        <f t="shared" si="70"/>
        <v>0.85919984008739858</v>
      </c>
      <c r="FW13" s="153">
        <f t="shared" si="71"/>
        <v>0.70200754567374291</v>
      </c>
      <c r="FX13" s="152">
        <f t="shared" si="72"/>
        <v>1.9814694749824013</v>
      </c>
      <c r="FY13" s="140">
        <f t="shared" si="73"/>
        <v>0.64147994357621607</v>
      </c>
      <c r="FZ13" s="140">
        <f t="shared" si="176"/>
        <v>44.678391684544728</v>
      </c>
      <c r="GA13" s="153">
        <f t="shared" si="176"/>
        <v>36.504392375034634</v>
      </c>
      <c r="GB13" s="152">
        <f t="shared" si="74"/>
        <v>4.6162898812118817E-2</v>
      </c>
      <c r="GC13" s="154">
        <f t="shared" si="75"/>
        <v>1.7795516352694603E-2</v>
      </c>
      <c r="GD13" s="152">
        <f t="shared" si="76"/>
        <v>3.9895696342530318E-2</v>
      </c>
      <c r="GE13" s="154">
        <f t="shared" si="77"/>
        <v>2.3835359090523544E-2</v>
      </c>
      <c r="GF13" s="155">
        <f t="shared" si="78"/>
        <v>2.095536560452807E-2</v>
      </c>
      <c r="GG13" s="152">
        <f t="shared" si="79"/>
        <v>267.30759994085065</v>
      </c>
      <c r="GH13" s="134">
        <f t="shared" si="80"/>
        <v>36.047279037176288</v>
      </c>
      <c r="GI13" s="130">
        <f t="shared" si="81"/>
        <v>36.047279037176288</v>
      </c>
      <c r="GJ13" s="152">
        <f t="shared" si="82"/>
        <v>1.025339385216264</v>
      </c>
      <c r="GK13" s="154">
        <f t="shared" si="82"/>
        <v>0.91516715849294228</v>
      </c>
      <c r="GL13" s="152">
        <f t="shared" si="82"/>
        <v>1.0000000000000002</v>
      </c>
      <c r="GM13" s="154">
        <f t="shared" si="82"/>
        <v>0.91035728230055979</v>
      </c>
      <c r="GN13" s="154">
        <f t="shared" si="82"/>
        <v>0.98331203004796686</v>
      </c>
      <c r="GO13" s="112">
        <f t="shared" si="177"/>
        <v>0.54886307325706074</v>
      </c>
      <c r="GP13" s="156">
        <f t="shared" si="177"/>
        <v>0.9196937120590486</v>
      </c>
      <c r="GQ13" s="115">
        <f t="shared" si="177"/>
        <v>0.21959122080812832</v>
      </c>
      <c r="GR13" s="117">
        <f t="shared" si="204"/>
        <v>425.67607001395754</v>
      </c>
      <c r="GS13" s="135">
        <f t="shared" si="178"/>
        <v>1761.4452499662586</v>
      </c>
      <c r="GT13" s="5">
        <f t="shared" si="178"/>
        <v>411.61463255040917</v>
      </c>
      <c r="GU13" s="130">
        <f t="shared" si="83"/>
        <v>450.45302016645292</v>
      </c>
      <c r="GV13" s="145">
        <f t="shared" si="84"/>
        <v>1063.967289493753</v>
      </c>
      <c r="GW13" s="134">
        <f t="shared" si="85"/>
        <v>449.76989037526033</v>
      </c>
      <c r="GX13" s="157">
        <f t="shared" si="179"/>
        <v>0.63508380189529212</v>
      </c>
      <c r="GY13" s="154">
        <f t="shared" si="86"/>
        <v>0.21959122080812829</v>
      </c>
      <c r="GZ13" s="157">
        <f t="shared" si="86"/>
        <v>0.63508380189529212</v>
      </c>
      <c r="HA13" s="154">
        <f t="shared" si="86"/>
        <v>0.29412103011529889</v>
      </c>
      <c r="HB13" s="155">
        <f t="shared" si="86"/>
        <v>0.24031101130241261</v>
      </c>
      <c r="HC13" s="157">
        <f t="shared" si="87"/>
        <v>0.61938886875133603</v>
      </c>
      <c r="HD13" s="154">
        <f t="shared" si="88"/>
        <v>0.2399465701651069</v>
      </c>
      <c r="HE13" s="144">
        <v>71.2</v>
      </c>
      <c r="HF13" s="146"/>
      <c r="HG13" s="158">
        <f t="shared" si="89"/>
        <v>113.09231226453456</v>
      </c>
      <c r="HH13" s="2">
        <f t="shared" si="90"/>
        <v>96.791117245719832</v>
      </c>
      <c r="HI13" s="2">
        <f t="shared" si="91"/>
        <v>99.733185509405558</v>
      </c>
      <c r="HJ13" s="2">
        <f t="shared" si="92"/>
        <v>101.0498687664042</v>
      </c>
      <c r="HK13" s="2">
        <f t="shared" si="93"/>
        <v>123.54436518659352</v>
      </c>
      <c r="HL13" s="2">
        <f t="shared" si="180"/>
        <v>98.922710575590671</v>
      </c>
      <c r="HM13" s="2">
        <f t="shared" si="94"/>
        <v>128.21482424894472</v>
      </c>
      <c r="HN13" s="2">
        <f t="shared" si="95"/>
        <v>103.04609815358678</v>
      </c>
      <c r="HO13" s="2">
        <f t="shared" si="181"/>
        <v>93.538957344472053</v>
      </c>
      <c r="HP13" s="2">
        <f t="shared" si="96"/>
        <v>89.104852084072846</v>
      </c>
      <c r="HQ13" s="2">
        <f t="shared" si="182"/>
        <v>87.263669070908179</v>
      </c>
      <c r="HR13" s="159">
        <f t="shared" si="97"/>
        <v>115.30681441805852</v>
      </c>
      <c r="HS13" s="12">
        <f t="shared" si="98"/>
        <v>123.71368545236766</v>
      </c>
      <c r="HT13" s="12">
        <f t="shared" si="99"/>
        <v>87.923345521452589</v>
      </c>
      <c r="HU13" s="12">
        <f t="shared" si="100"/>
        <v>96.10045064563127</v>
      </c>
      <c r="HV13" s="12">
        <f t="shared" si="101"/>
        <v>116.43485489731</v>
      </c>
      <c r="HW13" s="12">
        <f t="shared" si="183"/>
        <v>96.143266553471236</v>
      </c>
      <c r="HX13" s="12">
        <f t="shared" si="102"/>
        <v>121.21506569528317</v>
      </c>
      <c r="HY13" s="12">
        <f t="shared" si="103"/>
        <v>105.17469707160654</v>
      </c>
      <c r="HZ13" s="12">
        <f t="shared" si="104"/>
        <v>84.441185339240803</v>
      </c>
      <c r="IA13" s="12">
        <f t="shared" si="105"/>
        <v>90.270786856074096</v>
      </c>
      <c r="IB13" s="12">
        <f t="shared" si="184"/>
        <v>91.516715849294229</v>
      </c>
      <c r="IC13" s="158">
        <f t="shared" si="106"/>
        <v>127.62403369992387</v>
      </c>
      <c r="ID13" s="2">
        <f t="shared" si="107"/>
        <v>99.957999971255248</v>
      </c>
      <c r="IE13" s="2">
        <f t="shared" si="108"/>
        <v>103.00053978761916</v>
      </c>
      <c r="IF13" s="2">
        <f t="shared" si="109"/>
        <v>101.0498687664042</v>
      </c>
      <c r="IG13" s="2">
        <f t="shared" si="110"/>
        <v>125.45508870121751</v>
      </c>
      <c r="IH13" s="2">
        <f t="shared" si="185"/>
        <v>98.922710575590671</v>
      </c>
      <c r="II13" s="2">
        <f t="shared" si="111"/>
        <v>126.23794023429666</v>
      </c>
      <c r="IJ13" s="2">
        <f t="shared" si="112"/>
        <v>103.04609815358674</v>
      </c>
      <c r="IK13" s="2">
        <f t="shared" si="113"/>
        <v>102.9325513196481</v>
      </c>
      <c r="IL13" s="2">
        <f t="shared" si="114"/>
        <v>78.34975715343738</v>
      </c>
      <c r="IM13" s="2">
        <f t="shared" si="186"/>
        <v>100.00000000000003</v>
      </c>
      <c r="IN13" s="159">
        <f t="shared" si="115"/>
        <v>116.62156554737841</v>
      </c>
      <c r="IO13" s="12">
        <f t="shared" si="116"/>
        <v>90.881731898404837</v>
      </c>
      <c r="IP13" s="12">
        <f t="shared" si="117"/>
        <v>98.471424899026232</v>
      </c>
      <c r="IQ13" s="12">
        <f t="shared" si="118"/>
        <v>96.10045064563127</v>
      </c>
      <c r="IR13" s="12">
        <f t="shared" si="119"/>
        <v>116.43485489731</v>
      </c>
      <c r="IS13" s="12">
        <f t="shared" si="187"/>
        <v>94.572678493665236</v>
      </c>
      <c r="IT13" s="12">
        <f t="shared" si="120"/>
        <v>121.21506569528317</v>
      </c>
      <c r="IU13" s="12">
        <f t="shared" si="121"/>
        <v>108.34353098752119</v>
      </c>
      <c r="IV13" s="12">
        <f t="shared" si="122"/>
        <v>94.354795035511955</v>
      </c>
      <c r="IW13" s="12">
        <f t="shared" si="123"/>
        <v>78.148718329585392</v>
      </c>
      <c r="IX13" s="12">
        <f t="shared" si="188"/>
        <v>91.03572823005598</v>
      </c>
      <c r="IY13" s="160">
        <f t="shared" si="124"/>
        <v>116.3215595590984</v>
      </c>
      <c r="IZ13" s="25">
        <f t="shared" si="125"/>
        <v>91.473686168153037</v>
      </c>
      <c r="JA13" s="25">
        <f t="shared" si="126"/>
        <v>97.663056194907966</v>
      </c>
      <c r="JB13" s="25">
        <f t="shared" si="127"/>
        <v>96.10045064563127</v>
      </c>
      <c r="JC13" s="25">
        <f t="shared" si="128"/>
        <v>116.43485489731</v>
      </c>
      <c r="JD13" s="25">
        <f t="shared" si="189"/>
        <v>95.172677743529746</v>
      </c>
      <c r="JE13" s="25">
        <f t="shared" si="129"/>
        <v>112.64985856540643</v>
      </c>
      <c r="JF13" s="25">
        <f t="shared" si="130"/>
        <v>106.78609343873615</v>
      </c>
      <c r="JG13" s="25">
        <f t="shared" si="131"/>
        <v>94.783448777376208</v>
      </c>
      <c r="JH13" s="25">
        <f t="shared" si="132"/>
        <v>84.497441953742225</v>
      </c>
      <c r="JI13" s="25">
        <f t="shared" si="190"/>
        <v>98.331203004796691</v>
      </c>
    </row>
    <row r="14" spans="1:269" x14ac:dyDescent="0.35">
      <c r="A14" s="109">
        <v>1999</v>
      </c>
      <c r="B14" s="110">
        <v>499702000000</v>
      </c>
      <c r="C14" s="111">
        <v>65.2</v>
      </c>
      <c r="D14" s="112">
        <f t="shared" si="133"/>
        <v>0.65200000000000002</v>
      </c>
      <c r="E14" s="111">
        <f t="shared" si="134"/>
        <v>7664141104.2944784</v>
      </c>
      <c r="F14" s="113">
        <f t="shared" si="135"/>
        <v>766414110429.44788</v>
      </c>
      <c r="G14" s="114">
        <v>24052000000</v>
      </c>
      <c r="H14" s="110">
        <v>8607000000</v>
      </c>
      <c r="I14" s="110">
        <v>190528000000</v>
      </c>
      <c r="J14" s="110">
        <v>65651000000</v>
      </c>
      <c r="K14" s="112">
        <v>67.400000000000006</v>
      </c>
      <c r="L14" s="112">
        <f t="shared" si="136"/>
        <v>0.67400000000000004</v>
      </c>
      <c r="M14" s="112">
        <f t="shared" si="137"/>
        <v>356854599.40652817</v>
      </c>
      <c r="N14" s="112">
        <f t="shared" si="138"/>
        <v>2826824925.8160233</v>
      </c>
      <c r="O14" s="112">
        <f t="shared" si="139"/>
        <v>2826824925.8160233</v>
      </c>
      <c r="P14" s="112">
        <f t="shared" si="140"/>
        <v>35685459940.652817</v>
      </c>
      <c r="Q14" s="112">
        <f t="shared" si="141"/>
        <v>12770029673.590504</v>
      </c>
      <c r="R14" s="112">
        <f t="shared" si="142"/>
        <v>282682492581.60236</v>
      </c>
      <c r="S14" s="115">
        <f t="shared" si="143"/>
        <v>331137982195.8457</v>
      </c>
      <c r="T14" s="112">
        <f t="shared" si="144"/>
        <v>974050445.10385752</v>
      </c>
      <c r="U14" s="115">
        <f t="shared" si="145"/>
        <v>97405044510.385757</v>
      </c>
      <c r="V14" s="116">
        <f t="shared" si="146"/>
        <v>1194957137135.6794</v>
      </c>
      <c r="W14" s="117">
        <f t="shared" si="147"/>
        <v>788540000000</v>
      </c>
      <c r="X14" s="112">
        <v>62.341324999999998</v>
      </c>
      <c r="Y14" s="112">
        <f t="shared" si="148"/>
        <v>0.62341325000000003</v>
      </c>
      <c r="Z14" s="112">
        <f t="shared" si="149"/>
        <v>1264875265323.6035</v>
      </c>
      <c r="AA14" s="115">
        <v>0.28399999999999997</v>
      </c>
      <c r="AB14" s="115">
        <v>0.32400000000000001</v>
      </c>
      <c r="AC14" s="115">
        <f t="shared" si="150"/>
        <v>0.60799999999999998</v>
      </c>
      <c r="AD14" s="118">
        <v>0.2549896563486076</v>
      </c>
      <c r="AE14" s="115">
        <f t="shared" si="151"/>
        <v>0.86298965634860758</v>
      </c>
      <c r="AF14" s="115">
        <f t="shared" si="152"/>
        <v>0.13701034365139242</v>
      </c>
      <c r="AG14" s="119">
        <v>0.27474900664489871</v>
      </c>
      <c r="AH14" s="119">
        <v>0.3221264336673359</v>
      </c>
      <c r="AI14" s="119">
        <f t="shared" si="153"/>
        <v>0.59687544031223461</v>
      </c>
      <c r="AJ14" s="16">
        <v>2747000</v>
      </c>
      <c r="AK14" s="120">
        <v>21716000</v>
      </c>
      <c r="AL14" s="121">
        <f t="shared" si="154"/>
        <v>24463000</v>
      </c>
      <c r="AM14" s="122">
        <v>0.1674582</v>
      </c>
      <c r="AN14" s="123">
        <f t="shared" si="191"/>
        <v>3636522.2711999998</v>
      </c>
      <c r="AO14" s="124">
        <v>0.84539343614076712</v>
      </c>
      <c r="AP14" s="123">
        <f t="shared" si="155"/>
        <v>18358563.859232899</v>
      </c>
      <c r="AQ14" s="125">
        <v>0.50060059999999995</v>
      </c>
      <c r="AR14" s="123">
        <f t="shared" si="156"/>
        <v>9190308.0830703042</v>
      </c>
      <c r="AS14" s="123">
        <f t="shared" si="157"/>
        <v>9168255.7761625946</v>
      </c>
      <c r="AT14" s="115">
        <f t="shared" si="0"/>
        <v>455.45808733952907</v>
      </c>
      <c r="AU14" s="126">
        <v>0.57675109999999996</v>
      </c>
      <c r="AV14" s="123">
        <f t="shared" si="1"/>
        <v>2097368.220089098</v>
      </c>
      <c r="AW14" s="123">
        <f t="shared" si="158"/>
        <v>1539154.0511109019</v>
      </c>
      <c r="AX14" s="127">
        <f t="shared" si="159"/>
        <v>11287676.303159403</v>
      </c>
      <c r="AY14" s="127">
        <f t="shared" si="159"/>
        <v>10707409.827273495</v>
      </c>
      <c r="AZ14" s="16">
        <f t="shared" si="2"/>
        <v>49673692534.361633</v>
      </c>
      <c r="BA14" s="16">
        <f t="shared" si="3"/>
        <v>47731351976.024124</v>
      </c>
      <c r="BB14" s="16">
        <f t="shared" si="4"/>
        <v>217661607361.96317</v>
      </c>
      <c r="BC14" s="16">
        <f t="shared" si="5"/>
        <v>248318171779.14111</v>
      </c>
      <c r="BD14" s="17">
        <f t="shared" si="6"/>
        <v>195427670639.12869</v>
      </c>
      <c r="BE14" s="16">
        <f t="shared" si="160"/>
        <v>661407449780.23291</v>
      </c>
      <c r="BF14" s="117">
        <v>766414110429.44788</v>
      </c>
      <c r="BG14" s="116">
        <f t="shared" si="161"/>
        <v>0.86298965634860747</v>
      </c>
      <c r="BH14" s="115">
        <v>0.86298965634860758</v>
      </c>
      <c r="BI14" s="17">
        <v>18397985.432010811</v>
      </c>
      <c r="BJ14" s="7">
        <f t="shared" si="162"/>
        <v>661407449780.23303</v>
      </c>
      <c r="BK14" s="16">
        <f t="shared" si="163"/>
        <v>267335299896.3248</v>
      </c>
      <c r="BL14" s="112">
        <f t="shared" si="7"/>
        <v>31329.522561805497</v>
      </c>
      <c r="BM14" s="112">
        <f t="shared" si="8"/>
        <v>27037.053909178474</v>
      </c>
      <c r="BN14" s="115">
        <f t="shared" si="9"/>
        <v>23683.82054165551</v>
      </c>
      <c r="BO14" s="112">
        <f t="shared" si="164"/>
        <v>602.49081849625952</v>
      </c>
      <c r="BP14" s="112">
        <f t="shared" si="164"/>
        <v>519.94334440727835</v>
      </c>
      <c r="BQ14" s="115">
        <f t="shared" si="164"/>
        <v>455.45808733952902</v>
      </c>
      <c r="BR14" s="112">
        <f t="shared" si="10"/>
        <v>428543026706.23157</v>
      </c>
      <c r="BS14" s="115">
        <f t="shared" si="11"/>
        <v>927621837239.35461</v>
      </c>
      <c r="BT14" s="112">
        <f t="shared" si="12"/>
        <v>428543026706.23145</v>
      </c>
      <c r="BU14" s="115">
        <f t="shared" si="13"/>
        <v>627187505951.01099</v>
      </c>
      <c r="BV14" s="118">
        <f t="shared" si="14"/>
        <v>822615176590.13965</v>
      </c>
      <c r="BW14" s="112">
        <f t="shared" si="15"/>
        <v>48847.53043926254</v>
      </c>
      <c r="BX14" s="115">
        <f t="shared" si="16"/>
        <v>105863.87357699235</v>
      </c>
      <c r="BY14" s="128">
        <f t="shared" si="17"/>
        <v>1061966123850.2371</v>
      </c>
      <c r="BZ14" s="119">
        <f t="shared" si="18"/>
        <v>1093787304676.2103</v>
      </c>
      <c r="CA14" s="113">
        <v>38.200000000000003</v>
      </c>
      <c r="CB14" s="113">
        <v>15.3</v>
      </c>
      <c r="CC14" s="113">
        <v>9.1</v>
      </c>
      <c r="CD14" s="113">
        <v>17636553.467570689</v>
      </c>
      <c r="CE14" s="113">
        <v>5928089.51001566</v>
      </c>
      <c r="CF14" s="113">
        <v>1239971.5498579398</v>
      </c>
      <c r="CG14" s="113">
        <f t="shared" si="165"/>
        <v>24804614.527444288</v>
      </c>
      <c r="CH14" s="113">
        <v>24463000</v>
      </c>
      <c r="CI14" s="113">
        <f t="shared" si="166"/>
        <v>-341614.52744428813</v>
      </c>
      <c r="CJ14" s="122">
        <f t="shared" si="167"/>
        <v>0.71101905042939795</v>
      </c>
      <c r="CK14" s="122">
        <f t="shared" si="168"/>
        <v>0.23899139829231014</v>
      </c>
      <c r="CL14" s="122">
        <f t="shared" si="169"/>
        <v>4.9989551278291876E-2</v>
      </c>
      <c r="CM14" s="129">
        <f t="shared" si="19"/>
        <v>31.272401036907805</v>
      </c>
      <c r="CN14" s="16">
        <v>891029670.34546125</v>
      </c>
      <c r="CO14" s="16">
        <f t="shared" si="20"/>
        <v>775699853.06814718</v>
      </c>
      <c r="CP14" s="130">
        <v>31.49</v>
      </c>
      <c r="CQ14" s="131">
        <f t="shared" si="192"/>
        <v>31.054802073815612</v>
      </c>
      <c r="CR14" s="5">
        <v>34.9</v>
      </c>
      <c r="CS14" s="132">
        <v>42.22</v>
      </c>
      <c r="CT14" s="5">
        <f t="shared" si="21"/>
        <v>36.260132498373906</v>
      </c>
      <c r="CU14" s="5">
        <v>32.83</v>
      </c>
      <c r="CV14" s="5">
        <v>42.81</v>
      </c>
      <c r="CW14" s="133"/>
      <c r="CX14" s="134">
        <v>34.94</v>
      </c>
      <c r="CY14" s="5">
        <f t="shared" si="193"/>
        <v>33.698100316552775</v>
      </c>
      <c r="CZ14" s="5">
        <f t="shared" si="170"/>
        <v>37.088660434843845</v>
      </c>
      <c r="DA14" s="5">
        <f t="shared" si="194"/>
        <v>36.654817306781744</v>
      </c>
      <c r="DB14" s="117">
        <f t="shared" si="171"/>
        <v>1928.61034261188</v>
      </c>
      <c r="DC14" s="135">
        <f t="shared" si="171"/>
        <v>1906.0504999526506</v>
      </c>
      <c r="DD14" s="5">
        <f t="shared" si="22"/>
        <v>1885.526889915443</v>
      </c>
      <c r="DE14" s="131">
        <f t="shared" si="23"/>
        <v>394185446.14476705</v>
      </c>
      <c r="DF14" s="5">
        <f t="shared" si="24"/>
        <v>320741752.09915358</v>
      </c>
      <c r="DG14" s="131">
        <f t="shared" si="25"/>
        <v>454148256.45032215</v>
      </c>
      <c r="DH14" s="5">
        <f t="shared" si="26"/>
        <v>88550886.252161711</v>
      </c>
      <c r="DI14" s="7">
        <f t="shared" si="195"/>
        <v>907299900.21758497</v>
      </c>
      <c r="DJ14" s="136">
        <f t="shared" si="172"/>
        <v>1299394797.9472258</v>
      </c>
      <c r="DK14" s="16">
        <f t="shared" si="27"/>
        <v>409292638.35131526</v>
      </c>
      <c r="DL14" s="7">
        <f t="shared" si="196"/>
        <v>47179594811.314415</v>
      </c>
      <c r="DM14" s="136">
        <f t="shared" si="196"/>
        <v>67568529493.255745</v>
      </c>
      <c r="DN14" s="16">
        <f t="shared" si="173"/>
        <v>21283217194.268394</v>
      </c>
      <c r="DO14" s="117">
        <f t="shared" si="197"/>
        <v>1928.6103426118798</v>
      </c>
      <c r="DP14" s="135">
        <f t="shared" si="198"/>
        <v>1906.0504999526509</v>
      </c>
      <c r="DQ14" s="5">
        <f t="shared" si="28"/>
        <v>1885.526889915443</v>
      </c>
      <c r="DR14" s="117">
        <f t="shared" si="29"/>
        <v>25.327838060387702</v>
      </c>
      <c r="DS14" s="135">
        <f t="shared" si="199"/>
        <v>17.685113855481379</v>
      </c>
      <c r="DT14" s="5">
        <f t="shared" si="30"/>
        <v>56.145512505387735</v>
      </c>
      <c r="DU14" s="137">
        <f t="shared" si="31"/>
        <v>21.857662263787169</v>
      </c>
      <c r="DV14" s="138">
        <f t="shared" si="32"/>
        <v>42.029491955202722</v>
      </c>
      <c r="DW14" s="130">
        <f t="shared" si="33"/>
        <v>51.211734886584246</v>
      </c>
      <c r="DX14" s="137">
        <v>22.509013231193769</v>
      </c>
      <c r="DY14" s="138">
        <v>51.392009708511978</v>
      </c>
      <c r="DZ14" s="137">
        <f t="shared" si="34"/>
        <v>25.327838060387705</v>
      </c>
      <c r="EA14" s="138">
        <v>38.367207166765432</v>
      </c>
      <c r="EB14" s="130">
        <v>46.839630442603251</v>
      </c>
      <c r="EC14" s="139">
        <f t="shared" si="35"/>
        <v>0.55915336222881429</v>
      </c>
      <c r="ED14" s="140">
        <f t="shared" si="36"/>
        <v>3.4698815966282615</v>
      </c>
      <c r="EE14" s="139">
        <f t="shared" si="37"/>
        <v>0.55915336222881418</v>
      </c>
      <c r="EF14" s="141">
        <f t="shared" si="38"/>
        <v>3.0770914911317648</v>
      </c>
      <c r="EG14" s="142">
        <f t="shared" si="39"/>
        <v>2.3460706692840052</v>
      </c>
      <c r="EH14" s="117">
        <f t="shared" si="40"/>
        <v>23.787692303613735</v>
      </c>
      <c r="EI14" s="117">
        <f t="shared" si="41"/>
        <v>13.30096813123011</v>
      </c>
      <c r="EJ14" s="135">
        <f t="shared" si="42"/>
        <v>8.9904328579603909</v>
      </c>
      <c r="EK14" s="135">
        <f t="shared" si="43"/>
        <v>27.664384448821352</v>
      </c>
      <c r="EL14" s="143">
        <f t="shared" si="44"/>
        <v>10.836630807362139</v>
      </c>
      <c r="EM14" s="143">
        <f t="shared" si="45"/>
        <v>25.423501691011765</v>
      </c>
      <c r="EN14" s="144">
        <f t="shared" si="46"/>
        <v>24.500476300415368</v>
      </c>
      <c r="EO14" s="145">
        <f t="shared" si="47"/>
        <v>13.699523699584635</v>
      </c>
      <c r="EP14" s="146">
        <f t="shared" si="48"/>
        <v>10.836630807362139</v>
      </c>
      <c r="EQ14" s="134">
        <f t="shared" si="49"/>
        <v>25.423501691011765</v>
      </c>
      <c r="ER14" s="130">
        <f t="shared" si="50"/>
        <v>8.8936273756045665</v>
      </c>
      <c r="ES14" s="130">
        <f t="shared" si="51"/>
        <v>27.36650512276934</v>
      </c>
      <c r="ET14" s="117">
        <f t="shared" si="200"/>
        <v>12.568660434843846</v>
      </c>
      <c r="EU14" s="135">
        <f t="shared" si="201"/>
        <v>27.164817306781742</v>
      </c>
      <c r="EV14" s="5">
        <f t="shared" si="52"/>
        <v>24.650132498373907</v>
      </c>
      <c r="EW14" s="145">
        <f t="shared" si="53"/>
        <v>13.740000000000002</v>
      </c>
      <c r="EX14" s="134">
        <f t="shared" si="54"/>
        <v>24.594132498373906</v>
      </c>
      <c r="EY14" s="130">
        <f t="shared" si="55"/>
        <v>26.790132498373907</v>
      </c>
      <c r="EZ14" s="117">
        <f t="shared" si="202"/>
        <v>51.258810908824827</v>
      </c>
      <c r="FA14" s="135">
        <f t="shared" si="203"/>
        <v>286.24675771108264</v>
      </c>
      <c r="FB14" s="5">
        <f t="shared" si="174"/>
        <v>212.31810937445226</v>
      </c>
      <c r="FC14" s="145">
        <f t="shared" si="56"/>
        <v>56.17334423548651</v>
      </c>
      <c r="FD14" s="134">
        <f t="shared" si="57"/>
        <v>210.81889678016375</v>
      </c>
      <c r="FE14" s="130">
        <f t="shared" si="58"/>
        <v>282.89474655093881</v>
      </c>
      <c r="FF14" s="117">
        <f t="shared" si="59"/>
        <v>14.018930269015728</v>
      </c>
      <c r="FG14" s="135">
        <f t="shared" si="175"/>
        <v>16.436879590852275</v>
      </c>
      <c r="FH14" s="5">
        <f t="shared" si="60"/>
        <v>12.560850056462264</v>
      </c>
      <c r="FI14" s="145">
        <f t="shared" si="61"/>
        <v>14.018930269015724</v>
      </c>
      <c r="FJ14" s="134">
        <f t="shared" si="62"/>
        <v>12.560850056462264</v>
      </c>
      <c r="FK14" s="145">
        <f t="shared" si="63"/>
        <v>16.2446098465782</v>
      </c>
      <c r="FL14" s="134">
        <f t="shared" si="64"/>
        <v>12.560850056462264</v>
      </c>
      <c r="FM14" s="130">
        <v>11.589852193843875</v>
      </c>
      <c r="FN14" s="111">
        <v>72.099999999999994</v>
      </c>
      <c r="FO14" s="147">
        <f t="shared" si="65"/>
        <v>2.8466701274738146</v>
      </c>
      <c r="FP14" s="148">
        <f t="shared" si="66"/>
        <v>4.0768750820144195</v>
      </c>
      <c r="FQ14" s="149">
        <f t="shared" si="67"/>
        <v>1.2841631821079424</v>
      </c>
      <c r="FR14" s="150">
        <f t="shared" si="68"/>
        <v>3.9482248647348332E-2</v>
      </c>
      <c r="FS14" s="151">
        <f t="shared" si="68"/>
        <v>5.6544730679811646E-2</v>
      </c>
      <c r="FT14" s="122">
        <f t="shared" si="68"/>
        <v>1.7810862442551215E-2</v>
      </c>
      <c r="FU14" s="152">
        <f t="shared" si="69"/>
        <v>1.5082218983287063</v>
      </c>
      <c r="FV14" s="140">
        <f t="shared" si="70"/>
        <v>0.86273068770428851</v>
      </c>
      <c r="FW14" s="153">
        <f t="shared" si="71"/>
        <v>0.70804343142596493</v>
      </c>
      <c r="FX14" s="152">
        <f t="shared" si="72"/>
        <v>1.9505428526161288</v>
      </c>
      <c r="FY14" s="140">
        <f t="shared" si="73"/>
        <v>0.64582423207721862</v>
      </c>
      <c r="FZ14" s="140">
        <f t="shared" si="176"/>
        <v>44.861995760623003</v>
      </c>
      <c r="GA14" s="153">
        <f t="shared" si="176"/>
        <v>36.818258434150174</v>
      </c>
      <c r="GB14" s="152">
        <f t="shared" si="74"/>
        <v>4.5750546784536827E-2</v>
      </c>
      <c r="GC14" s="154">
        <f t="shared" si="75"/>
        <v>1.7810862442551215E-2</v>
      </c>
      <c r="GD14" s="152">
        <f t="shared" si="76"/>
        <v>3.9482248647348332E-2</v>
      </c>
      <c r="GE14" s="154">
        <f t="shared" si="77"/>
        <v>2.3792816745580779E-2</v>
      </c>
      <c r="GF14" s="155">
        <f t="shared" si="78"/>
        <v>2.1162727768420372E-2</v>
      </c>
      <c r="GG14" s="152">
        <f t="shared" si="79"/>
        <v>274.55081828022418</v>
      </c>
      <c r="GH14" s="134">
        <f t="shared" si="80"/>
        <v>36.260132498373906</v>
      </c>
      <c r="GI14" s="130">
        <f t="shared" si="81"/>
        <v>36.260132498373906</v>
      </c>
      <c r="GJ14" s="152">
        <f t="shared" si="82"/>
        <v>1.029799662907489</v>
      </c>
      <c r="GK14" s="154">
        <f t="shared" si="82"/>
        <v>0.91533601556456334</v>
      </c>
      <c r="GL14" s="152">
        <f t="shared" si="82"/>
        <v>1</v>
      </c>
      <c r="GM14" s="154">
        <f t="shared" si="82"/>
        <v>0.9128639291585835</v>
      </c>
      <c r="GN14" s="154">
        <f t="shared" si="82"/>
        <v>0.99125434783022803</v>
      </c>
      <c r="GO14" s="112">
        <f t="shared" si="177"/>
        <v>0.5534988906511169</v>
      </c>
      <c r="GP14" s="156">
        <f t="shared" si="177"/>
        <v>0.92941892968123452</v>
      </c>
      <c r="GQ14" s="115">
        <f t="shared" si="177"/>
        <v>0.22371957251716107</v>
      </c>
      <c r="GR14" s="117">
        <f t="shared" si="204"/>
        <v>431.46788140130531</v>
      </c>
      <c r="GS14" s="135">
        <f t="shared" si="178"/>
        <v>1771.5194155843747</v>
      </c>
      <c r="GT14" s="5">
        <f t="shared" si="178"/>
        <v>421.82926978149516</v>
      </c>
      <c r="GU14" s="130">
        <f t="shared" si="83"/>
        <v>462.46862353143746</v>
      </c>
      <c r="GV14" s="145">
        <f t="shared" si="84"/>
        <v>1067.4836851339458</v>
      </c>
      <c r="GW14" s="134">
        <f t="shared" si="85"/>
        <v>460.8463587235974</v>
      </c>
      <c r="GX14" s="157">
        <f t="shared" si="179"/>
        <v>0.6413737251417635</v>
      </c>
      <c r="GY14" s="154">
        <f t="shared" si="86"/>
        <v>0.22371957251716104</v>
      </c>
      <c r="GZ14" s="157">
        <f t="shared" si="86"/>
        <v>0.6413737251417635</v>
      </c>
      <c r="HA14" s="154">
        <f t="shared" si="86"/>
        <v>0.29885800356212466</v>
      </c>
      <c r="HB14" s="155">
        <f t="shared" si="86"/>
        <v>0.24527288685454754</v>
      </c>
      <c r="HC14" s="157">
        <f t="shared" si="87"/>
        <v>0.62281407563383584</v>
      </c>
      <c r="HD14" s="154">
        <f t="shared" si="88"/>
        <v>0.24441250940964526</v>
      </c>
      <c r="HE14" s="144">
        <v>72.099999999999994</v>
      </c>
      <c r="HF14" s="146"/>
      <c r="HG14" s="158">
        <f t="shared" si="89"/>
        <v>114.60801034212713</v>
      </c>
      <c r="HH14" s="2">
        <f t="shared" si="90"/>
        <v>97.251399442411014</v>
      </c>
      <c r="HI14" s="2">
        <f t="shared" si="91"/>
        <v>97.514429114590257</v>
      </c>
      <c r="HJ14" s="2">
        <f t="shared" si="92"/>
        <v>100.26246719160106</v>
      </c>
      <c r="HK14" s="2">
        <f t="shared" si="93"/>
        <v>125.43174646132552</v>
      </c>
      <c r="HL14" s="2">
        <f t="shared" si="180"/>
        <v>99.902449399028583</v>
      </c>
      <c r="HM14" s="2">
        <f t="shared" si="94"/>
        <v>130.65172664506736</v>
      </c>
      <c r="HN14" s="2">
        <f t="shared" si="95"/>
        <v>100.27678166259828</v>
      </c>
      <c r="HO14" s="2">
        <f t="shared" si="181"/>
        <v>92.145604361025264</v>
      </c>
      <c r="HP14" s="2">
        <f t="shared" si="96"/>
        <v>89.296092332689696</v>
      </c>
      <c r="HQ14" s="2">
        <f t="shared" si="182"/>
        <v>87.643270402938668</v>
      </c>
      <c r="HR14" s="159">
        <f t="shared" si="97"/>
        <v>115.22872131953359</v>
      </c>
      <c r="HS14" s="12">
        <f t="shared" si="98"/>
        <v>126.44843415825133</v>
      </c>
      <c r="HT14" s="12">
        <f t="shared" si="99"/>
        <v>87.849003769909345</v>
      </c>
      <c r="HU14" s="12">
        <f t="shared" si="100"/>
        <v>96.667908553382858</v>
      </c>
      <c r="HV14" s="12">
        <f t="shared" si="101"/>
        <v>119.22149316263537</v>
      </c>
      <c r="HW14" s="12">
        <f t="shared" si="183"/>
        <v>97.950776058301685</v>
      </c>
      <c r="HX14" s="12">
        <f t="shared" si="102"/>
        <v>123.38752511259592</v>
      </c>
      <c r="HY14" s="12">
        <f t="shared" si="103"/>
        <v>102.68777697431419</v>
      </c>
      <c r="HZ14" s="12">
        <f t="shared" si="104"/>
        <v>85.176684514077067</v>
      </c>
      <c r="IA14" s="12">
        <f t="shared" si="105"/>
        <v>91.490679831001884</v>
      </c>
      <c r="IB14" s="12">
        <f t="shared" si="184"/>
        <v>91.533601556456333</v>
      </c>
      <c r="IC14" s="158">
        <f t="shared" si="106"/>
        <v>128.96047892254433</v>
      </c>
      <c r="ID14" s="2">
        <f t="shared" si="107"/>
        <v>100.16138465481939</v>
      </c>
      <c r="IE14" s="2">
        <f t="shared" si="108"/>
        <v>100.43639075941815</v>
      </c>
      <c r="IF14" s="2">
        <f t="shared" si="109"/>
        <v>100.26246719160106</v>
      </c>
      <c r="IG14" s="2">
        <f t="shared" si="110"/>
        <v>127.18779032190426</v>
      </c>
      <c r="IH14" s="2">
        <f t="shared" si="185"/>
        <v>99.902449399028583</v>
      </c>
      <c r="II14" s="2">
        <f t="shared" si="111"/>
        <v>128.8232343106915</v>
      </c>
      <c r="IJ14" s="2">
        <f t="shared" si="112"/>
        <v>100.27678166259825</v>
      </c>
      <c r="IK14" s="2">
        <f t="shared" si="113"/>
        <v>100.73313782991202</v>
      </c>
      <c r="IL14" s="2">
        <f t="shared" si="114"/>
        <v>77.537801742632226</v>
      </c>
      <c r="IM14" s="2">
        <f t="shared" si="186"/>
        <v>100</v>
      </c>
      <c r="IN14" s="159">
        <f t="shared" si="115"/>
        <v>117.15177760844406</v>
      </c>
      <c r="IO14" s="12">
        <f t="shared" si="116"/>
        <v>92.890714961101821</v>
      </c>
      <c r="IP14" s="12">
        <f t="shared" si="117"/>
        <v>98.38816443890002</v>
      </c>
      <c r="IQ14" s="12">
        <f t="shared" si="118"/>
        <v>96.667908553382858</v>
      </c>
      <c r="IR14" s="12">
        <f t="shared" si="119"/>
        <v>119.22149316263537</v>
      </c>
      <c r="IS14" s="12">
        <f t="shared" si="187"/>
        <v>96.095821081069019</v>
      </c>
      <c r="IT14" s="12">
        <f t="shared" si="120"/>
        <v>123.38752511259592</v>
      </c>
      <c r="IU14" s="12">
        <f t="shared" si="121"/>
        <v>105.91071757469078</v>
      </c>
      <c r="IV14" s="12">
        <f t="shared" si="122"/>
        <v>95.178531340456303</v>
      </c>
      <c r="IW14" s="12">
        <f t="shared" si="123"/>
        <v>78.00923523141239</v>
      </c>
      <c r="IX14" s="12">
        <f t="shared" si="188"/>
        <v>91.286392915858343</v>
      </c>
      <c r="IY14" s="160">
        <f t="shared" si="124"/>
        <v>116.11212306049393</v>
      </c>
      <c r="IZ14" s="25">
        <f t="shared" si="125"/>
        <v>93.913699847989079</v>
      </c>
      <c r="JA14" s="25">
        <f t="shared" si="126"/>
        <v>97.598092449248725</v>
      </c>
      <c r="JB14" s="25">
        <f t="shared" si="127"/>
        <v>96.667908553382858</v>
      </c>
      <c r="JC14" s="25">
        <f t="shared" si="128"/>
        <v>119.22149316263537</v>
      </c>
      <c r="JD14" s="25">
        <f t="shared" si="189"/>
        <v>97.137776972098038</v>
      </c>
      <c r="JE14" s="25">
        <f t="shared" si="129"/>
        <v>113.84923569591233</v>
      </c>
      <c r="JF14" s="25">
        <f t="shared" si="130"/>
        <v>103.94244965618485</v>
      </c>
      <c r="JG14" s="25">
        <f t="shared" si="131"/>
        <v>95.542555272374855</v>
      </c>
      <c r="JH14" s="25">
        <f t="shared" si="132"/>
        <v>85.333579711372465</v>
      </c>
      <c r="JI14" s="25">
        <f t="shared" si="190"/>
        <v>99.125434783022797</v>
      </c>
    </row>
    <row r="15" spans="1:269" x14ac:dyDescent="0.35">
      <c r="A15" s="109">
        <v>2000</v>
      </c>
      <c r="B15" s="110">
        <v>535149000000</v>
      </c>
      <c r="C15" s="111">
        <v>67.400000000000006</v>
      </c>
      <c r="D15" s="112">
        <f t="shared" si="133"/>
        <v>0.67400000000000004</v>
      </c>
      <c r="E15" s="111">
        <f t="shared" si="134"/>
        <v>7939896142.4332342</v>
      </c>
      <c r="F15" s="113">
        <f t="shared" si="135"/>
        <v>793989614243.32336</v>
      </c>
      <c r="G15" s="114">
        <v>19582000000</v>
      </c>
      <c r="H15" s="110">
        <v>8300000000</v>
      </c>
      <c r="I15" s="110">
        <v>200377000000</v>
      </c>
      <c r="J15" s="110">
        <v>68799000000</v>
      </c>
      <c r="K15" s="112">
        <v>67.099999999999994</v>
      </c>
      <c r="L15" s="112">
        <f t="shared" si="136"/>
        <v>0.67099999999999993</v>
      </c>
      <c r="M15" s="112">
        <f t="shared" si="137"/>
        <v>291833084.94783908</v>
      </c>
      <c r="N15" s="112">
        <f t="shared" si="138"/>
        <v>2986244411.3263788</v>
      </c>
      <c r="O15" s="112">
        <f t="shared" si="139"/>
        <v>2986244411.3263788</v>
      </c>
      <c r="P15" s="112">
        <f t="shared" si="140"/>
        <v>29183308494.783909</v>
      </c>
      <c r="Q15" s="112">
        <f t="shared" si="141"/>
        <v>12369597615.499256</v>
      </c>
      <c r="R15" s="112">
        <f t="shared" si="142"/>
        <v>298624441132.63788</v>
      </c>
      <c r="S15" s="115">
        <f t="shared" si="143"/>
        <v>340177347242.92102</v>
      </c>
      <c r="T15" s="112">
        <f t="shared" si="144"/>
        <v>1025320417.2876304</v>
      </c>
      <c r="U15" s="115">
        <f t="shared" si="145"/>
        <v>102532041728.76305</v>
      </c>
      <c r="V15" s="116">
        <f t="shared" si="146"/>
        <v>1236699003215.0073</v>
      </c>
      <c r="W15" s="117">
        <f t="shared" si="147"/>
        <v>832207000000</v>
      </c>
      <c r="X15" s="112">
        <v>63.391075000000001</v>
      </c>
      <c r="Y15" s="112">
        <f t="shared" si="148"/>
        <v>0.63391074999999997</v>
      </c>
      <c r="Z15" s="112">
        <f t="shared" si="149"/>
        <v>1312814146155.4329</v>
      </c>
      <c r="AA15" s="115">
        <v>0.28100000000000003</v>
      </c>
      <c r="AB15" s="115">
        <v>0.33100000000000002</v>
      </c>
      <c r="AC15" s="115">
        <f t="shared" si="150"/>
        <v>0.6120000000000001</v>
      </c>
      <c r="AD15" s="118">
        <v>0.25373357149434866</v>
      </c>
      <c r="AE15" s="115">
        <f t="shared" si="151"/>
        <v>0.86573357149434882</v>
      </c>
      <c r="AF15" s="115">
        <f t="shared" si="152"/>
        <v>0.13426642850565118</v>
      </c>
      <c r="AG15" s="119">
        <v>0.27497063129833094</v>
      </c>
      <c r="AH15" s="119">
        <v>0.32832262526420497</v>
      </c>
      <c r="AI15" s="119">
        <f t="shared" si="153"/>
        <v>0.60329325656253596</v>
      </c>
      <c r="AJ15" s="16">
        <v>2782000</v>
      </c>
      <c r="AK15" s="120">
        <v>22044000</v>
      </c>
      <c r="AL15" s="121">
        <f t="shared" si="154"/>
        <v>24826000</v>
      </c>
      <c r="AM15" s="122">
        <v>0.16280819999999996</v>
      </c>
      <c r="AN15" s="123">
        <f t="shared" si="191"/>
        <v>3588943.9607999991</v>
      </c>
      <c r="AO15" s="124">
        <v>0.84163963432615752</v>
      </c>
      <c r="AP15" s="123">
        <f t="shared" si="155"/>
        <v>18553104.099085815</v>
      </c>
      <c r="AQ15" s="125">
        <v>0.4953321</v>
      </c>
      <c r="AR15" s="123">
        <f t="shared" si="156"/>
        <v>9189948.0149187855</v>
      </c>
      <c r="AS15" s="123">
        <f t="shared" si="157"/>
        <v>9363156.0841670316</v>
      </c>
      <c r="AT15" s="115">
        <f t="shared" si="0"/>
        <v>466.8794335024856</v>
      </c>
      <c r="AU15" s="126">
        <v>0.59314169999999999</v>
      </c>
      <c r="AV15" s="123">
        <f t="shared" si="1"/>
        <v>2128752.3221136448</v>
      </c>
      <c r="AW15" s="123">
        <f t="shared" si="158"/>
        <v>1460191.6386863543</v>
      </c>
      <c r="AX15" s="127">
        <f t="shared" si="159"/>
        <v>11318700.33703243</v>
      </c>
      <c r="AY15" s="127">
        <f t="shared" si="159"/>
        <v>10823347.722853385</v>
      </c>
      <c r="AZ15" s="16">
        <f t="shared" si="2"/>
        <v>51681275267.207001</v>
      </c>
      <c r="BA15" s="16">
        <f t="shared" si="3"/>
        <v>50850766461.556046</v>
      </c>
      <c r="BB15" s="16">
        <f t="shared" si="4"/>
        <v>223111081602.3739</v>
      </c>
      <c r="BC15" s="16">
        <f t="shared" si="5"/>
        <v>262810562314.54004</v>
      </c>
      <c r="BD15" s="17">
        <f t="shared" si="6"/>
        <v>201461820551.3786</v>
      </c>
      <c r="BE15" s="16">
        <f t="shared" si="160"/>
        <v>687383464468.29248</v>
      </c>
      <c r="BF15" s="117">
        <v>793989614243.32336</v>
      </c>
      <c r="BG15" s="116">
        <f t="shared" si="161"/>
        <v>0.8657335714943486</v>
      </c>
      <c r="BH15" s="115">
        <v>0.86573357149434882</v>
      </c>
      <c r="BI15" s="17">
        <v>31274522.908984531</v>
      </c>
      <c r="BJ15" s="7">
        <f t="shared" si="162"/>
        <v>687383464468.2926</v>
      </c>
      <c r="BK15" s="16">
        <f t="shared" si="163"/>
        <v>274792356869.5809</v>
      </c>
      <c r="BL15" s="112">
        <f t="shared" si="7"/>
        <v>31982.180546335429</v>
      </c>
      <c r="BM15" s="112">
        <f t="shared" si="8"/>
        <v>27688.047388556053</v>
      </c>
      <c r="BN15" s="115">
        <f t="shared" si="9"/>
        <v>24277.730542129255</v>
      </c>
      <c r="BO15" s="112">
        <f t="shared" si="164"/>
        <v>615.04193358337363</v>
      </c>
      <c r="BP15" s="112">
        <f t="shared" si="164"/>
        <v>532.4624497799241</v>
      </c>
      <c r="BQ15" s="115">
        <f t="shared" si="164"/>
        <v>466.87943350248565</v>
      </c>
      <c r="BR15" s="112">
        <f t="shared" si="10"/>
        <v>442709388971.68396</v>
      </c>
      <c r="BS15" s="115">
        <f t="shared" si="11"/>
        <v>961906646345.42639</v>
      </c>
      <c r="BT15" s="112">
        <f t="shared" si="12"/>
        <v>442709388971.68408</v>
      </c>
      <c r="BU15" s="115">
        <f t="shared" si="13"/>
        <v>653838676019.01709</v>
      </c>
      <c r="BV15" s="118">
        <f t="shared" si="14"/>
        <v>855300496570.39575</v>
      </c>
      <c r="BW15" s="112">
        <f t="shared" si="15"/>
        <v>49814.670233424928</v>
      </c>
      <c r="BX15" s="115">
        <f t="shared" si="16"/>
        <v>109261.57300664509</v>
      </c>
      <c r="BY15" s="128">
        <f t="shared" si="17"/>
        <v>1099965149796.8335</v>
      </c>
      <c r="BZ15" s="119">
        <f t="shared" si="18"/>
        <v>1132013095238.095</v>
      </c>
      <c r="CA15" s="113">
        <v>37.9</v>
      </c>
      <c r="CB15" s="113">
        <v>15.5</v>
      </c>
      <c r="CC15" s="113">
        <v>9.1</v>
      </c>
      <c r="CD15" s="113">
        <v>17871259.08944248</v>
      </c>
      <c r="CE15" s="113">
        <v>6073966.4398834705</v>
      </c>
      <c r="CF15" s="113">
        <v>1179389.060610014</v>
      </c>
      <c r="CG15" s="113">
        <f t="shared" si="165"/>
        <v>25124614.589935966</v>
      </c>
      <c r="CH15" s="113">
        <v>24826000</v>
      </c>
      <c r="CI15" s="113">
        <f t="shared" si="166"/>
        <v>-298614.58993596584</v>
      </c>
      <c r="CJ15" s="122">
        <f t="shared" si="167"/>
        <v>0.71130480531235996</v>
      </c>
      <c r="CK15" s="122">
        <f t="shared" si="168"/>
        <v>0.24175361648399124</v>
      </c>
      <c r="CL15" s="122">
        <f t="shared" si="169"/>
        <v>4.6941578203648769E-2</v>
      </c>
      <c r="CM15" s="129">
        <f t="shared" si="19"/>
        <v>31.132801538493506</v>
      </c>
      <c r="CN15" s="16">
        <v>894727866.34751284</v>
      </c>
      <c r="CO15" s="16">
        <f t="shared" si="20"/>
        <v>782199639.75961483</v>
      </c>
      <c r="CP15" s="130">
        <v>31.45</v>
      </c>
      <c r="CQ15" s="131">
        <f t="shared" si="192"/>
        <v>30.815603076987014</v>
      </c>
      <c r="CR15" s="5">
        <v>34.799999999999997</v>
      </c>
      <c r="CS15" s="132">
        <v>41.69</v>
      </c>
      <c r="CT15" s="5">
        <f t="shared" si="21"/>
        <v>36.095829296882727</v>
      </c>
      <c r="CU15" s="5">
        <v>32.5</v>
      </c>
      <c r="CV15" s="5">
        <v>44.24</v>
      </c>
      <c r="CW15" s="133"/>
      <c r="CX15" s="134">
        <v>35.07</v>
      </c>
      <c r="CY15" s="5">
        <f t="shared" si="193"/>
        <v>33.545291169904417</v>
      </c>
      <c r="CZ15" s="5">
        <f t="shared" si="170"/>
        <v>36.827029080022839</v>
      </c>
      <c r="DA15" s="5">
        <f t="shared" si="194"/>
        <v>36.408567970532829</v>
      </c>
      <c r="DB15" s="117">
        <f t="shared" si="171"/>
        <v>1915.0055121611877</v>
      </c>
      <c r="DC15" s="135">
        <f t="shared" si="171"/>
        <v>1893.2455344677071</v>
      </c>
      <c r="DD15" s="5">
        <f t="shared" si="22"/>
        <v>1876.9831234379017</v>
      </c>
      <c r="DE15" s="131">
        <f t="shared" si="23"/>
        <v>394133998.9998439</v>
      </c>
      <c r="DF15" s="5">
        <f t="shared" si="24"/>
        <v>319810190.91917372</v>
      </c>
      <c r="DG15" s="131">
        <f t="shared" si="25"/>
        <v>471960751.57367295</v>
      </c>
      <c r="DH15" s="5">
        <f t="shared" si="26"/>
        <v>88747684.30891785</v>
      </c>
      <c r="DI15" s="7">
        <f t="shared" si="195"/>
        <v>914267823.94064701</v>
      </c>
      <c r="DJ15" s="136">
        <f t="shared" si="172"/>
        <v>1301511489.1253989</v>
      </c>
      <c r="DK15" s="16">
        <f t="shared" si="27"/>
        <v>408557875.2280916</v>
      </c>
      <c r="DL15" s="7">
        <f t="shared" si="196"/>
        <v>47541926844.913643</v>
      </c>
      <c r="DM15" s="136">
        <f t="shared" si="196"/>
        <v>67678597434.520744</v>
      </c>
      <c r="DN15" s="16">
        <f t="shared" si="173"/>
        <v>21245009511.860764</v>
      </c>
      <c r="DO15" s="117">
        <f t="shared" si="197"/>
        <v>1915.0055121611877</v>
      </c>
      <c r="DP15" s="135">
        <f t="shared" si="198"/>
        <v>1893.2455344677073</v>
      </c>
      <c r="DQ15" s="5">
        <f t="shared" si="28"/>
        <v>1876.9831234379019</v>
      </c>
      <c r="DR15" s="117">
        <f t="shared" si="29"/>
        <v>26.012807752812353</v>
      </c>
      <c r="DS15" s="135">
        <f t="shared" si="199"/>
        <v>18.273118091897775</v>
      </c>
      <c r="DT15" s="5">
        <f t="shared" si="30"/>
        <v>58.211270864556553</v>
      </c>
      <c r="DU15" s="137">
        <f t="shared" si="31"/>
        <v>22.520160960438126</v>
      </c>
      <c r="DV15" s="138">
        <f t="shared" si="32"/>
        <v>43.710549170154877</v>
      </c>
      <c r="DW15" s="130">
        <f t="shared" si="33"/>
        <v>53.193332429861385</v>
      </c>
      <c r="DX15" s="137">
        <v>23.136738933300414</v>
      </c>
      <c r="DY15" s="138">
        <v>53.283717976502174</v>
      </c>
      <c r="DZ15" s="137">
        <f t="shared" si="34"/>
        <v>26.012807752812357</v>
      </c>
      <c r="EA15" s="138">
        <v>39.911293027504719</v>
      </c>
      <c r="EB15" s="130">
        <v>48.656223805466738</v>
      </c>
      <c r="EC15" s="139">
        <f t="shared" si="35"/>
        <v>0.55757579322191575</v>
      </c>
      <c r="ED15" s="140">
        <f t="shared" si="36"/>
        <v>3.5004854476427689</v>
      </c>
      <c r="EE15" s="139">
        <f t="shared" si="37"/>
        <v>0.55757579322191597</v>
      </c>
      <c r="EF15" s="141">
        <f t="shared" si="38"/>
        <v>3.1125337921109995</v>
      </c>
      <c r="EG15" s="142">
        <f t="shared" si="39"/>
        <v>2.3793917831904445</v>
      </c>
      <c r="EH15" s="117">
        <f t="shared" si="40"/>
        <v>23.643811903268258</v>
      </c>
      <c r="EI15" s="117">
        <f t="shared" si="41"/>
        <v>13.183217176754582</v>
      </c>
      <c r="EJ15" s="135">
        <f t="shared" si="42"/>
        <v>8.8530744818133122</v>
      </c>
      <c r="EK15" s="135">
        <f t="shared" si="43"/>
        <v>27.555493488719517</v>
      </c>
      <c r="EL15" s="143">
        <f t="shared" si="44"/>
        <v>10.681161467110236</v>
      </c>
      <c r="EM15" s="143">
        <f t="shared" si="45"/>
        <v>25.41466782977249</v>
      </c>
      <c r="EN15" s="144">
        <f t="shared" si="46"/>
        <v>24.332684268033038</v>
      </c>
      <c r="EO15" s="145">
        <f t="shared" si="47"/>
        <v>13.567315731966961</v>
      </c>
      <c r="EP15" s="146">
        <f t="shared" si="48"/>
        <v>10.681161467110236</v>
      </c>
      <c r="EQ15" s="134">
        <f t="shared" si="49"/>
        <v>25.41466782977249</v>
      </c>
      <c r="ER15" s="130">
        <f t="shared" si="50"/>
        <v>8.777029228580373</v>
      </c>
      <c r="ES15" s="130">
        <f t="shared" si="51"/>
        <v>27.318800068302352</v>
      </c>
      <c r="ET15" s="117">
        <f t="shared" si="200"/>
        <v>12.30702908002284</v>
      </c>
      <c r="EU15" s="135">
        <f t="shared" si="201"/>
        <v>26.918567970532827</v>
      </c>
      <c r="EV15" s="5">
        <f t="shared" si="52"/>
        <v>24.485829296882727</v>
      </c>
      <c r="EW15" s="145">
        <f t="shared" si="53"/>
        <v>13.439999999999998</v>
      </c>
      <c r="EX15" s="134">
        <f t="shared" si="54"/>
        <v>24.429829296882726</v>
      </c>
      <c r="EY15" s="130">
        <f t="shared" si="55"/>
        <v>26.625829296882728</v>
      </c>
      <c r="EZ15" s="117">
        <f t="shared" si="202"/>
        <v>50.191798858168191</v>
      </c>
      <c r="FA15" s="135">
        <f t="shared" si="203"/>
        <v>283.65192803511934</v>
      </c>
      <c r="FB15" s="5">
        <f t="shared" si="174"/>
        <v>210.90292245377026</v>
      </c>
      <c r="FC15" s="145">
        <f t="shared" si="56"/>
        <v>54.946852003270628</v>
      </c>
      <c r="FD15" s="134">
        <f t="shared" si="57"/>
        <v>209.41050314488879</v>
      </c>
      <c r="FE15" s="130">
        <f t="shared" si="58"/>
        <v>281.1597602627532</v>
      </c>
      <c r="FF15" s="117">
        <f t="shared" si="59"/>
        <v>14.458468768222286</v>
      </c>
      <c r="FG15" s="135">
        <f t="shared" si="175"/>
        <v>16.892780130247257</v>
      </c>
      <c r="FH15" s="5">
        <f t="shared" si="60"/>
        <v>12.93444263774834</v>
      </c>
      <c r="FI15" s="145">
        <f t="shared" si="61"/>
        <v>14.458468768222284</v>
      </c>
      <c r="FJ15" s="134">
        <f t="shared" si="62"/>
        <v>12.93444263774834</v>
      </c>
      <c r="FK15" s="145">
        <f t="shared" si="63"/>
        <v>16.700829498000662</v>
      </c>
      <c r="FL15" s="134">
        <f t="shared" si="64"/>
        <v>12.93444263774834</v>
      </c>
      <c r="FM15" s="130">
        <v>11.928017589440341</v>
      </c>
      <c r="FN15" s="111">
        <v>72.7</v>
      </c>
      <c r="FO15" s="147">
        <f t="shared" si="65"/>
        <v>2.7947771225172762</v>
      </c>
      <c r="FP15" s="148">
        <f t="shared" si="66"/>
        <v>3.9785218720955391</v>
      </c>
      <c r="FQ15" s="149">
        <f t="shared" si="67"/>
        <v>1.2488990348476534</v>
      </c>
      <c r="FR15" s="150">
        <f t="shared" si="68"/>
        <v>3.8442601410141351E-2</v>
      </c>
      <c r="FS15" s="151">
        <f t="shared" si="68"/>
        <v>5.4725197690447577E-2</v>
      </c>
      <c r="FT15" s="122">
        <f t="shared" si="68"/>
        <v>1.7178803780572946E-2</v>
      </c>
      <c r="FU15" s="152">
        <f t="shared" si="69"/>
        <v>1.456974593444357</v>
      </c>
      <c r="FV15" s="140">
        <f t="shared" si="70"/>
        <v>0.82579217104708891</v>
      </c>
      <c r="FW15" s="153">
        <f t="shared" si="71"/>
        <v>0.67857807826718231</v>
      </c>
      <c r="FX15" s="152">
        <f t="shared" si="72"/>
        <v>1.8812317584539489</v>
      </c>
      <c r="FY15" s="140">
        <f t="shared" si="73"/>
        <v>0.6200831687882048</v>
      </c>
      <c r="FZ15" s="140">
        <f t="shared" si="176"/>
        <v>42.941192894448626</v>
      </c>
      <c r="GA15" s="153">
        <f t="shared" si="176"/>
        <v>35.28606006989348</v>
      </c>
      <c r="GB15" s="152">
        <f t="shared" si="74"/>
        <v>4.4404655977225545E-2</v>
      </c>
      <c r="GC15" s="154">
        <f t="shared" si="75"/>
        <v>1.7178803780572946E-2</v>
      </c>
      <c r="GD15" s="152">
        <f t="shared" si="76"/>
        <v>3.8442601410141344E-2</v>
      </c>
      <c r="GE15" s="154">
        <f t="shared" si="77"/>
        <v>2.2877772505379316E-2</v>
      </c>
      <c r="GF15" s="155">
        <f t="shared" si="78"/>
        <v>2.0385541384489708E-2</v>
      </c>
      <c r="GG15" s="152">
        <f t="shared" si="79"/>
        <v>291.28573013564653</v>
      </c>
      <c r="GH15" s="134">
        <f t="shared" si="80"/>
        <v>36.095829296882727</v>
      </c>
      <c r="GI15" s="130">
        <f t="shared" si="81"/>
        <v>36.095829296882727</v>
      </c>
      <c r="GJ15" s="152">
        <f t="shared" si="82"/>
        <v>1.0273789327680851</v>
      </c>
      <c r="GK15" s="154">
        <f t="shared" si="82"/>
        <v>0.91535053581771819</v>
      </c>
      <c r="GL15" s="152">
        <f t="shared" si="82"/>
        <v>1</v>
      </c>
      <c r="GM15" s="154">
        <f t="shared" si="82"/>
        <v>0.91308148227878461</v>
      </c>
      <c r="GN15" s="154">
        <f t="shared" si="82"/>
        <v>0.99188346399933547</v>
      </c>
      <c r="GO15" s="112">
        <f t="shared" si="177"/>
        <v>0.55582115185774672</v>
      </c>
      <c r="GP15" s="156">
        <f t="shared" si="177"/>
        <v>0.9244607321690459</v>
      </c>
      <c r="GQ15" s="115">
        <f t="shared" si="177"/>
        <v>0.22219825208495511</v>
      </c>
      <c r="GR15" s="117">
        <f t="shared" si="204"/>
        <v>425.51087753527014</v>
      </c>
      <c r="GS15" s="135">
        <f t="shared" si="178"/>
        <v>1750.2311529697934</v>
      </c>
      <c r="GT15" s="5">
        <f t="shared" si="178"/>
        <v>417.06236922086134</v>
      </c>
      <c r="GU15" s="130">
        <f t="shared" si="83"/>
        <v>456.40551988617938</v>
      </c>
      <c r="GV15" s="145">
        <f t="shared" si="84"/>
        <v>1064.4005695833653</v>
      </c>
      <c r="GW15" s="134">
        <f t="shared" si="85"/>
        <v>455.63131598353556</v>
      </c>
      <c r="GX15" s="157">
        <f t="shared" si="179"/>
        <v>0.64202333161037062</v>
      </c>
      <c r="GY15" s="154">
        <f t="shared" si="86"/>
        <v>0.22219825208495508</v>
      </c>
      <c r="GZ15" s="157">
        <f t="shared" si="86"/>
        <v>0.6420233316103704</v>
      </c>
      <c r="HA15" s="154">
        <f t="shared" si="86"/>
        <v>0.29591123615028492</v>
      </c>
      <c r="HB15" s="155">
        <f t="shared" si="86"/>
        <v>0.24315909620445722</v>
      </c>
      <c r="HC15" s="157">
        <f t="shared" si="87"/>
        <v>0.62491385713015912</v>
      </c>
      <c r="HD15" s="154">
        <f t="shared" si="88"/>
        <v>0.24274662371444045</v>
      </c>
      <c r="HE15" s="144">
        <v>72.7</v>
      </c>
      <c r="HF15" s="146"/>
      <c r="HG15" s="158">
        <f t="shared" si="89"/>
        <v>117.80416972148886</v>
      </c>
      <c r="HH15" s="2">
        <f t="shared" si="90"/>
        <v>96.663172131104886</v>
      </c>
      <c r="HI15" s="2">
        <f t="shared" si="91"/>
        <v>96.651152322247654</v>
      </c>
      <c r="HJ15" s="2">
        <f t="shared" si="92"/>
        <v>99.475065616797892</v>
      </c>
      <c r="HK15" s="2">
        <f t="shared" si="93"/>
        <v>128.04474609066938</v>
      </c>
      <c r="HL15" s="2">
        <f t="shared" si="180"/>
        <v>100.00363420722283</v>
      </c>
      <c r="HM15" s="2">
        <f t="shared" si="94"/>
        <v>134.7480779890241</v>
      </c>
      <c r="HN15" s="2">
        <f t="shared" si="95"/>
        <v>99.993865465453581</v>
      </c>
      <c r="HO15" s="2">
        <f t="shared" si="181"/>
        <v>90.227485923921108</v>
      </c>
      <c r="HP15" s="2">
        <f t="shared" si="96"/>
        <v>87.668280765308708</v>
      </c>
      <c r="HQ15" s="2">
        <f t="shared" si="182"/>
        <v>87.43724906323331</v>
      </c>
      <c r="HR15" s="159">
        <f t="shared" si="97"/>
        <v>119.470219678256</v>
      </c>
      <c r="HS15" s="12">
        <f t="shared" si="98"/>
        <v>124.63432283675888</v>
      </c>
      <c r="HT15" s="12">
        <f t="shared" si="99"/>
        <v>87.818479024783997</v>
      </c>
      <c r="HU15" s="12">
        <f t="shared" si="100"/>
        <v>96.229883489423429</v>
      </c>
      <c r="HV15" s="12">
        <f t="shared" si="101"/>
        <v>122.21116439984836</v>
      </c>
      <c r="HW15" s="12">
        <f t="shared" si="183"/>
        <v>97.2846988112763</v>
      </c>
      <c r="HX15" s="12">
        <f t="shared" si="102"/>
        <v>127.05739329811729</v>
      </c>
      <c r="HY15" s="12">
        <f t="shared" si="103"/>
        <v>103.59346823207545</v>
      </c>
      <c r="HZ15" s="12">
        <f t="shared" si="104"/>
        <v>84.608947121225725</v>
      </c>
      <c r="IA15" s="12">
        <f t="shared" si="105"/>
        <v>88.978272645173377</v>
      </c>
      <c r="IB15" s="12">
        <f t="shared" si="184"/>
        <v>91.53505358177182</v>
      </c>
      <c r="IC15" s="158">
        <f t="shared" si="106"/>
        <v>132.44810464772075</v>
      </c>
      <c r="ID15" s="2">
        <f t="shared" si="107"/>
        <v>99.475427284383471</v>
      </c>
      <c r="IE15" s="2">
        <f t="shared" si="108"/>
        <v>99.467124134655123</v>
      </c>
      <c r="IF15" s="2">
        <f t="shared" si="109"/>
        <v>99.475065616797892</v>
      </c>
      <c r="IG15" s="2">
        <f t="shared" si="110"/>
        <v>130.25019580565757</v>
      </c>
      <c r="IH15" s="2">
        <f t="shared" si="185"/>
        <v>100.0036342072228</v>
      </c>
      <c r="II15" s="2">
        <f t="shared" si="111"/>
        <v>132.44115383029867</v>
      </c>
      <c r="IJ15" s="2">
        <f t="shared" si="112"/>
        <v>99.993865465453609</v>
      </c>
      <c r="IK15" s="2">
        <f t="shared" si="113"/>
        <v>98.533724340175937</v>
      </c>
      <c r="IL15" s="2">
        <f t="shared" si="114"/>
        <v>75.496075039554881</v>
      </c>
      <c r="IM15" s="2">
        <f t="shared" si="186"/>
        <v>100</v>
      </c>
      <c r="IN15" s="159">
        <f t="shared" si="115"/>
        <v>121.86654359543425</v>
      </c>
      <c r="IO15" s="12">
        <f t="shared" si="116"/>
        <v>91.558044463485643</v>
      </c>
      <c r="IP15" s="12">
        <f t="shared" si="117"/>
        <v>98.353977669398191</v>
      </c>
      <c r="IQ15" s="12">
        <f t="shared" si="118"/>
        <v>96.229883489423429</v>
      </c>
      <c r="IR15" s="12">
        <f t="shared" si="119"/>
        <v>122.21116439984836</v>
      </c>
      <c r="IS15" s="12">
        <f t="shared" si="187"/>
        <v>95.148307443821523</v>
      </c>
      <c r="IT15" s="12">
        <f t="shared" si="120"/>
        <v>127.05739329811729</v>
      </c>
      <c r="IU15" s="12">
        <f t="shared" si="121"/>
        <v>107.41496172659267</v>
      </c>
      <c r="IV15" s="12">
        <f t="shared" si="122"/>
        <v>94.542683037471846</v>
      </c>
      <c r="IW15" s="12">
        <f t="shared" si="123"/>
        <v>75.009090181571523</v>
      </c>
      <c r="IX15" s="12">
        <f t="shared" si="188"/>
        <v>91.308148227878462</v>
      </c>
      <c r="IY15" s="160">
        <f t="shared" si="124"/>
        <v>120.61532921533646</v>
      </c>
      <c r="IZ15" s="25">
        <f t="shared" si="125"/>
        <v>92.682462814998658</v>
      </c>
      <c r="JA15" s="25">
        <f t="shared" si="126"/>
        <v>97.427960300650327</v>
      </c>
      <c r="JB15" s="25">
        <f t="shared" si="127"/>
        <v>96.229883489423429</v>
      </c>
      <c r="JC15" s="25">
        <f t="shared" si="128"/>
        <v>122.21116439984836</v>
      </c>
      <c r="JD15" s="25">
        <f t="shared" si="189"/>
        <v>96.300632160181081</v>
      </c>
      <c r="JE15" s="25">
        <f t="shared" si="129"/>
        <v>117.1710961634611</v>
      </c>
      <c r="JF15" s="25">
        <f t="shared" si="130"/>
        <v>105.13967099193347</v>
      </c>
      <c r="JG15" s="25">
        <f t="shared" si="131"/>
        <v>94.95659520999547</v>
      </c>
      <c r="JH15" s="25">
        <f t="shared" si="132"/>
        <v>82.19976364713591</v>
      </c>
      <c r="JI15" s="25">
        <f t="shared" si="190"/>
        <v>99.18834639993355</v>
      </c>
    </row>
    <row r="16" spans="1:269" x14ac:dyDescent="0.35">
      <c r="A16" s="109">
        <v>2001</v>
      </c>
      <c r="B16" s="110">
        <v>568044000000</v>
      </c>
      <c r="C16" s="111">
        <v>70.099999999999994</v>
      </c>
      <c r="D16" s="112">
        <f t="shared" si="133"/>
        <v>0.70099999999999996</v>
      </c>
      <c r="E16" s="111">
        <f t="shared" si="134"/>
        <v>8103338088.4450788</v>
      </c>
      <c r="F16" s="113">
        <f t="shared" si="135"/>
        <v>810333808844.50793</v>
      </c>
      <c r="G16" s="114">
        <v>19684000000</v>
      </c>
      <c r="H16" s="110">
        <v>8444000000</v>
      </c>
      <c r="I16" s="110">
        <v>199866000000</v>
      </c>
      <c r="J16" s="110">
        <v>72246000000</v>
      </c>
      <c r="K16" s="112">
        <v>67</v>
      </c>
      <c r="L16" s="112">
        <f t="shared" si="136"/>
        <v>0.67</v>
      </c>
      <c r="M16" s="112">
        <f t="shared" si="137"/>
        <v>293791044.77611941</v>
      </c>
      <c r="N16" s="112">
        <f t="shared" si="138"/>
        <v>2983074626.8656716</v>
      </c>
      <c r="O16" s="112">
        <f t="shared" si="139"/>
        <v>2983074626.8656716</v>
      </c>
      <c r="P16" s="112">
        <f t="shared" si="140"/>
        <v>29379104477.611938</v>
      </c>
      <c r="Q16" s="112">
        <f t="shared" si="141"/>
        <v>12602985074.626865</v>
      </c>
      <c r="R16" s="112">
        <f t="shared" si="142"/>
        <v>298307462686.56714</v>
      </c>
      <c r="S16" s="115">
        <f t="shared" si="143"/>
        <v>340289552238.80591</v>
      </c>
      <c r="T16" s="112">
        <f t="shared" si="144"/>
        <v>1078298507.4626865</v>
      </c>
      <c r="U16" s="115">
        <f t="shared" si="145"/>
        <v>107829850746.26865</v>
      </c>
      <c r="V16" s="116">
        <f t="shared" si="146"/>
        <v>1258453211829.5825</v>
      </c>
      <c r="W16" s="117">
        <f t="shared" si="147"/>
        <v>868284000000</v>
      </c>
      <c r="X16" s="112">
        <v>64.564400000000006</v>
      </c>
      <c r="Y16" s="112">
        <f t="shared" si="148"/>
        <v>0.64564400000000011</v>
      </c>
      <c r="Z16" s="112">
        <f t="shared" si="149"/>
        <v>1344833995204.7876</v>
      </c>
      <c r="AA16" s="115">
        <v>0.28799999999999998</v>
      </c>
      <c r="AB16" s="115">
        <v>0.33100000000000002</v>
      </c>
      <c r="AC16" s="115">
        <f t="shared" si="150"/>
        <v>0.61899999999999999</v>
      </c>
      <c r="AD16" s="118">
        <v>0.25521718381988778</v>
      </c>
      <c r="AE16" s="115">
        <f t="shared" si="151"/>
        <v>0.87421718381988778</v>
      </c>
      <c r="AF16" s="115">
        <f t="shared" si="152"/>
        <v>0.12578281618011222</v>
      </c>
      <c r="AG16" s="119">
        <v>0.28199137513665218</v>
      </c>
      <c r="AH16" s="119">
        <v>0.32528153402753057</v>
      </c>
      <c r="AI16" s="119">
        <f t="shared" si="153"/>
        <v>0.60727290916418275</v>
      </c>
      <c r="AJ16" s="16">
        <v>2783000</v>
      </c>
      <c r="AK16" s="120">
        <v>22122000</v>
      </c>
      <c r="AL16" s="121">
        <f t="shared" si="154"/>
        <v>24905000</v>
      </c>
      <c r="AM16" s="122">
        <v>0.15931949999999995</v>
      </c>
      <c r="AN16" s="123">
        <f t="shared" si="191"/>
        <v>3524465.9789999989</v>
      </c>
      <c r="AO16" s="124">
        <v>0.84115840280824927</v>
      </c>
      <c r="AP16" s="123">
        <f t="shared" si="155"/>
        <v>18608106.186924089</v>
      </c>
      <c r="AQ16" s="125">
        <v>0.49227080000000001</v>
      </c>
      <c r="AR16" s="123">
        <f t="shared" si="156"/>
        <v>9160227.3191220704</v>
      </c>
      <c r="AS16" s="123">
        <f t="shared" si="157"/>
        <v>9447878.8678020183</v>
      </c>
      <c r="AT16" s="115">
        <f t="shared" si="0"/>
        <v>489.94446068293513</v>
      </c>
      <c r="AU16" s="126">
        <v>0.60970869999999999</v>
      </c>
      <c r="AV16" s="123">
        <f t="shared" si="1"/>
        <v>2148897.5702503165</v>
      </c>
      <c r="AW16" s="123">
        <f t="shared" si="158"/>
        <v>1375568.4087496824</v>
      </c>
      <c r="AX16" s="127">
        <f t="shared" si="159"/>
        <v>11309124.889372386</v>
      </c>
      <c r="AY16" s="127">
        <f t="shared" si="159"/>
        <v>10823447.276551701</v>
      </c>
      <c r="AZ16" s="16">
        <f t="shared" si="2"/>
        <v>54747703978.196373</v>
      </c>
      <c r="BA16" s="16">
        <f t="shared" si="3"/>
        <v>53082146768.072273</v>
      </c>
      <c r="BB16" s="16">
        <f t="shared" si="4"/>
        <v>233376136947.21826</v>
      </c>
      <c r="BC16" s="16">
        <f t="shared" si="5"/>
        <v>268220490727.53214</v>
      </c>
      <c r="BD16" s="17">
        <f t="shared" si="6"/>
        <v>206811112647.33859</v>
      </c>
      <c r="BE16" s="16">
        <f t="shared" si="160"/>
        <v>708407740322.08899</v>
      </c>
      <c r="BF16" s="117">
        <v>810333808844.50793</v>
      </c>
      <c r="BG16" s="116">
        <f t="shared" si="161"/>
        <v>0.87421718381988778</v>
      </c>
      <c r="BH16" s="115">
        <v>0.87421718381988778</v>
      </c>
      <c r="BI16" s="17">
        <v>32434220.033906244</v>
      </c>
      <c r="BJ16" s="7">
        <f t="shared" si="162"/>
        <v>708407740322.08899</v>
      </c>
      <c r="BK16" s="16">
        <f t="shared" si="163"/>
        <v>288123840925.41461</v>
      </c>
      <c r="BL16" s="112">
        <f t="shared" si="7"/>
        <v>32536.992926902549</v>
      </c>
      <c r="BM16" s="112">
        <f t="shared" si="8"/>
        <v>28444.398326524351</v>
      </c>
      <c r="BN16" s="115">
        <f t="shared" si="9"/>
        <v>25477.111955512624</v>
      </c>
      <c r="BO16" s="112">
        <f t="shared" si="164"/>
        <v>625.71140244043363</v>
      </c>
      <c r="BP16" s="112">
        <f t="shared" si="164"/>
        <v>547.00766012546831</v>
      </c>
      <c r="BQ16" s="115">
        <f t="shared" si="164"/>
        <v>489.94446068293507</v>
      </c>
      <c r="BR16" s="112">
        <f t="shared" si="10"/>
        <v>448119402985.07458</v>
      </c>
      <c r="BS16" s="115">
        <f t="shared" si="11"/>
        <v>970329370904.16797</v>
      </c>
      <c r="BT16" s="112">
        <f t="shared" si="12"/>
        <v>448119402985.07458</v>
      </c>
      <c r="BU16" s="115">
        <f t="shared" si="13"/>
        <v>661592189734.41028</v>
      </c>
      <c r="BV16" s="118">
        <f t="shared" si="14"/>
        <v>868403302381.7489</v>
      </c>
      <c r="BW16" s="112">
        <f t="shared" si="15"/>
        <v>50530.143016646558</v>
      </c>
      <c r="BX16" s="115">
        <f t="shared" si="16"/>
        <v>111277.68276855788</v>
      </c>
      <c r="BY16" s="128">
        <f t="shared" si="17"/>
        <v>1123041881891.2839</v>
      </c>
      <c r="BZ16" s="119">
        <f t="shared" si="18"/>
        <v>1157282508224.2561</v>
      </c>
      <c r="CA16" s="113">
        <v>37.9</v>
      </c>
      <c r="CB16" s="113">
        <v>15.6</v>
      </c>
      <c r="CC16" s="113">
        <v>9.4</v>
      </c>
      <c r="CD16" s="113">
        <v>17685421.431299817</v>
      </c>
      <c r="CE16" s="113">
        <v>5936493.7939565182</v>
      </c>
      <c r="CF16" s="113">
        <v>1237960.3785159125</v>
      </c>
      <c r="CG16" s="113">
        <f t="shared" si="165"/>
        <v>24859875.603772249</v>
      </c>
      <c r="CH16" s="113">
        <v>24905000</v>
      </c>
      <c r="CI16" s="113">
        <f t="shared" si="166"/>
        <v>45124.396227750927</v>
      </c>
      <c r="CJ16" s="122">
        <f t="shared" si="167"/>
        <v>0.71140426095359155</v>
      </c>
      <c r="CK16" s="122">
        <f t="shared" si="168"/>
        <v>0.23879820995788539</v>
      </c>
      <c r="CL16" s="122">
        <f t="shared" si="169"/>
        <v>4.9797529088523022E-2</v>
      </c>
      <c r="CM16" s="129">
        <f t="shared" si="19"/>
        <v>31.155570338916242</v>
      </c>
      <c r="CN16" s="16">
        <v>904827486.80636406</v>
      </c>
      <c r="CO16" s="16">
        <f t="shared" si="20"/>
        <v>774523602.99003422</v>
      </c>
      <c r="CP16" s="130">
        <v>31.2</v>
      </c>
      <c r="CQ16" s="131">
        <f t="shared" si="192"/>
        <v>31.111140677832484</v>
      </c>
      <c r="CR16" s="5">
        <v>34.78</v>
      </c>
      <c r="CS16" s="132">
        <v>41.41</v>
      </c>
      <c r="CT16" s="5">
        <f t="shared" si="21"/>
        <v>36.039796052314202</v>
      </c>
      <c r="CU16" s="5">
        <v>32.83</v>
      </c>
      <c r="CV16" s="5">
        <v>43.89</v>
      </c>
      <c r="CW16" s="133"/>
      <c r="CX16" s="134">
        <v>35.270000000000003</v>
      </c>
      <c r="CY16" s="5">
        <f t="shared" si="193"/>
        <v>33.614738027771011</v>
      </c>
      <c r="CZ16" s="5">
        <f t="shared" si="170"/>
        <v>36.778649138134057</v>
      </c>
      <c r="DA16" s="5">
        <f t="shared" si="194"/>
        <v>36.34423933076885</v>
      </c>
      <c r="DB16" s="117">
        <f t="shared" si="171"/>
        <v>1912.4897551829708</v>
      </c>
      <c r="DC16" s="135">
        <f t="shared" si="171"/>
        <v>1889.9004451999801</v>
      </c>
      <c r="DD16" s="5">
        <f t="shared" si="22"/>
        <v>1874.0693947203386</v>
      </c>
      <c r="DE16" s="131">
        <f t="shared" si="23"/>
        <v>392473906.54582036</v>
      </c>
      <c r="DF16" s="5">
        <f t="shared" si="24"/>
        <v>318592706.1590656</v>
      </c>
      <c r="DG16" s="131">
        <f t="shared" si="25"/>
        <v>486103899.20339298</v>
      </c>
      <c r="DH16" s="5">
        <f t="shared" si="26"/>
        <v>88985848.384065598</v>
      </c>
      <c r="DI16" s="7">
        <f t="shared" si="195"/>
        <v>915972256.78522873</v>
      </c>
      <c r="DJ16" s="136">
        <f t="shared" si="172"/>
        <v>1298907476.0643413</v>
      </c>
      <c r="DK16" s="16">
        <f t="shared" si="27"/>
        <v>407578554.54313123</v>
      </c>
      <c r="DL16" s="7">
        <f t="shared" si="196"/>
        <v>47630557352.831894</v>
      </c>
      <c r="DM16" s="136">
        <f t="shared" si="196"/>
        <v>67543188755.345749</v>
      </c>
      <c r="DN16" s="16">
        <f t="shared" si="173"/>
        <v>21194084836.242825</v>
      </c>
      <c r="DO16" s="117">
        <f t="shared" si="197"/>
        <v>1912.4897551829711</v>
      </c>
      <c r="DP16" s="135">
        <f t="shared" si="198"/>
        <v>1889.9004451999804</v>
      </c>
      <c r="DQ16" s="5">
        <f t="shared" si="28"/>
        <v>1874.0693947203388</v>
      </c>
      <c r="DR16" s="117">
        <f t="shared" si="29"/>
        <v>26.421131344472094</v>
      </c>
      <c r="DS16" s="135">
        <f t="shared" si="199"/>
        <v>18.631830018981468</v>
      </c>
      <c r="DT16" s="5">
        <f t="shared" si="30"/>
        <v>59.377567918269904</v>
      </c>
      <c r="DU16" s="137">
        <f t="shared" si="31"/>
        <v>23.097807037299759</v>
      </c>
      <c r="DV16" s="138">
        <f t="shared" si="32"/>
        <v>44.810428853043391</v>
      </c>
      <c r="DW16" s="130">
        <f t="shared" si="33"/>
        <v>54.568392654985075</v>
      </c>
      <c r="DX16" s="137">
        <v>23.578180569506038</v>
      </c>
      <c r="DY16" s="138">
        <v>54.604033019875985</v>
      </c>
      <c r="DZ16" s="137">
        <f t="shared" si="34"/>
        <v>26.421131344472094</v>
      </c>
      <c r="EA16" s="138">
        <v>40.960205844436864</v>
      </c>
      <c r="EB16" s="130">
        <v>50.099678674465281</v>
      </c>
      <c r="EC16" s="139">
        <f t="shared" si="35"/>
        <v>0.55300593174566981</v>
      </c>
      <c r="ED16" s="140">
        <f t="shared" si="36"/>
        <v>3.3677510607508281</v>
      </c>
      <c r="EE16" s="139">
        <f t="shared" si="37"/>
        <v>0.55300593174566981</v>
      </c>
      <c r="EF16" s="141">
        <f t="shared" si="38"/>
        <v>3.0139932176127999</v>
      </c>
      <c r="EG16" s="142">
        <f t="shared" si="39"/>
        <v>2.2962077265437877</v>
      </c>
      <c r="EH16" s="117">
        <f t="shared" si="40"/>
        <v>23.682233522954224</v>
      </c>
      <c r="EI16" s="117">
        <f t="shared" si="41"/>
        <v>13.096415615179833</v>
      </c>
      <c r="EJ16" s="135">
        <f t="shared" si="42"/>
        <v>9.0543848383439673</v>
      </c>
      <c r="EK16" s="135">
        <f t="shared" si="43"/>
        <v>27.289854492424883</v>
      </c>
      <c r="EL16" s="143">
        <f t="shared" si="44"/>
        <v>10.933715057486211</v>
      </c>
      <c r="EM16" s="143">
        <f t="shared" si="45"/>
        <v>25.106080994827991</v>
      </c>
      <c r="EN16" s="144">
        <f t="shared" si="46"/>
        <v>24.40428540887682</v>
      </c>
      <c r="EO16" s="145">
        <f t="shared" si="47"/>
        <v>13.495714591123178</v>
      </c>
      <c r="EP16" s="146">
        <f t="shared" si="48"/>
        <v>10.933715057486211</v>
      </c>
      <c r="EQ16" s="134">
        <f t="shared" si="49"/>
        <v>25.106080994827991</v>
      </c>
      <c r="ER16" s="130">
        <f t="shared" si="50"/>
        <v>8.9785393493384547</v>
      </c>
      <c r="ES16" s="130">
        <f t="shared" si="51"/>
        <v>27.061256702975747</v>
      </c>
      <c r="ET16" s="117">
        <f t="shared" si="200"/>
        <v>12.258649138134057</v>
      </c>
      <c r="EU16" s="135">
        <f t="shared" si="201"/>
        <v>26.854239330768849</v>
      </c>
      <c r="EV16" s="5">
        <f t="shared" si="52"/>
        <v>24.429796052314202</v>
      </c>
      <c r="EW16" s="145">
        <f t="shared" si="53"/>
        <v>13.439999999999998</v>
      </c>
      <c r="EX16" s="134">
        <f t="shared" si="54"/>
        <v>24.373796052314201</v>
      </c>
      <c r="EY16" s="130">
        <f t="shared" si="55"/>
        <v>26.569796052314203</v>
      </c>
      <c r="EZ16" s="117">
        <f t="shared" si="202"/>
        <v>49.994490775424374</v>
      </c>
      <c r="FA16" s="135">
        <f t="shared" si="203"/>
        <v>282.97407092485616</v>
      </c>
      <c r="FB16" s="5">
        <f t="shared" si="174"/>
        <v>210.42029330158658</v>
      </c>
      <c r="FC16" s="145">
        <f t="shared" si="56"/>
        <v>54.946852003270628</v>
      </c>
      <c r="FD16" s="134">
        <f t="shared" si="57"/>
        <v>208.93019074502143</v>
      </c>
      <c r="FE16" s="130">
        <f t="shared" si="58"/>
        <v>280.56806813425766</v>
      </c>
      <c r="FF16" s="117">
        <f t="shared" si="59"/>
        <v>14.872967684892529</v>
      </c>
      <c r="FG16" s="135">
        <f t="shared" si="175"/>
        <v>17.216247030123135</v>
      </c>
      <c r="FH16" s="5">
        <f t="shared" si="60"/>
        <v>13.594540323473183</v>
      </c>
      <c r="FI16" s="145">
        <f t="shared" si="61"/>
        <v>14.872967684892529</v>
      </c>
      <c r="FJ16" s="134">
        <f t="shared" si="62"/>
        <v>13.594540323473183</v>
      </c>
      <c r="FK16" s="145">
        <f t="shared" si="63"/>
        <v>17.012897893296</v>
      </c>
      <c r="FL16" s="134">
        <f t="shared" si="64"/>
        <v>13.594540323473183</v>
      </c>
      <c r="FM16" s="130">
        <v>12.732874854320082</v>
      </c>
      <c r="FN16" s="111">
        <v>73.599999999999994</v>
      </c>
      <c r="FO16" s="147">
        <f t="shared" si="65"/>
        <v>2.7856490715867395</v>
      </c>
      <c r="FP16" s="148">
        <f t="shared" si="66"/>
        <v>3.9502292541859196</v>
      </c>
      <c r="FQ16" s="149">
        <f t="shared" si="67"/>
        <v>1.2395253389513448</v>
      </c>
      <c r="FR16" s="150">
        <f t="shared" si="68"/>
        <v>3.7848492820472007E-2</v>
      </c>
      <c r="FS16" s="151">
        <f t="shared" si="68"/>
        <v>5.367159312752609E-2</v>
      </c>
      <c r="FT16" s="122">
        <f t="shared" si="68"/>
        <v>1.684137688792588E-2</v>
      </c>
      <c r="FU16" s="152">
        <f t="shared" si="69"/>
        <v>1.434457877895889</v>
      </c>
      <c r="FV16" s="140">
        <f t="shared" si="70"/>
        <v>0.80427250920778648</v>
      </c>
      <c r="FW16" s="153">
        <f t="shared" si="71"/>
        <v>0.66045185314839583</v>
      </c>
      <c r="FX16" s="152">
        <f t="shared" si="72"/>
        <v>1.7951534092505397</v>
      </c>
      <c r="FY16" s="140">
        <f t="shared" si="73"/>
        <v>0.60695978828100683</v>
      </c>
      <c r="FZ16" s="140">
        <f t="shared" si="176"/>
        <v>41.8221704788049</v>
      </c>
      <c r="GA16" s="153">
        <f t="shared" si="176"/>
        <v>34.343496363716582</v>
      </c>
      <c r="GB16" s="152">
        <f t="shared" si="74"/>
        <v>4.3294153353395787E-2</v>
      </c>
      <c r="GC16" s="154">
        <f t="shared" si="75"/>
        <v>1.6841376887925884E-2</v>
      </c>
      <c r="GD16" s="152">
        <f t="shared" si="76"/>
        <v>3.7848492820472007E-2</v>
      </c>
      <c r="GE16" s="154">
        <f t="shared" si="77"/>
        <v>2.2316233644616931E-2</v>
      </c>
      <c r="GF16" s="155">
        <f t="shared" si="78"/>
        <v>1.9565767795340566E-2</v>
      </c>
      <c r="GG16" s="152">
        <f t="shared" si="79"/>
        <v>314.0040691523742</v>
      </c>
      <c r="GH16" s="134">
        <f t="shared" si="80"/>
        <v>36.039796052314202</v>
      </c>
      <c r="GI16" s="130">
        <f t="shared" si="81"/>
        <v>36.039796052314202</v>
      </c>
      <c r="GJ16" s="152">
        <f t="shared" si="82"/>
        <v>1.0207973653702513</v>
      </c>
      <c r="GK16" s="154">
        <f t="shared" si="82"/>
        <v>0.9196070996884812</v>
      </c>
      <c r="GL16" s="152">
        <f t="shared" si="82"/>
        <v>1</v>
      </c>
      <c r="GM16" s="154">
        <f t="shared" si="82"/>
        <v>0.914077523756057</v>
      </c>
      <c r="GN16" s="154">
        <f t="shared" si="82"/>
        <v>0.98023867956576327</v>
      </c>
      <c r="GO16" s="112">
        <f t="shared" si="177"/>
        <v>0.56291941064076711</v>
      </c>
      <c r="GP16" s="156">
        <f t="shared" si="177"/>
        <v>0.92402340578374831</v>
      </c>
      <c r="GQ16" s="115">
        <f t="shared" si="177"/>
        <v>0.22895077720571769</v>
      </c>
      <c r="GR16" s="117">
        <f t="shared" si="204"/>
        <v>437.866015847114</v>
      </c>
      <c r="GS16" s="135">
        <f t="shared" si="178"/>
        <v>1746.312245965908</v>
      </c>
      <c r="GT16" s="5">
        <f t="shared" si="178"/>
        <v>429.0696444586705</v>
      </c>
      <c r="GU16" s="130">
        <f t="shared" si="83"/>
        <v>466.88404616559973</v>
      </c>
      <c r="GV16" s="145">
        <f t="shared" si="84"/>
        <v>1076.5776058441029</v>
      </c>
      <c r="GW16" s="134">
        <f t="shared" si="85"/>
        <v>466.5793082763484</v>
      </c>
      <c r="GX16" s="157">
        <f t="shared" si="179"/>
        <v>0.64391254376983709</v>
      </c>
      <c r="GY16" s="154">
        <f t="shared" si="86"/>
        <v>0.22895077720571771</v>
      </c>
      <c r="GZ16" s="157">
        <f t="shared" si="86"/>
        <v>0.64391254376983698</v>
      </c>
      <c r="HA16" s="154">
        <f t="shared" si="86"/>
        <v>0.30337893814979378</v>
      </c>
      <c r="HB16" s="155">
        <f t="shared" si="86"/>
        <v>0.24912847276675756</v>
      </c>
      <c r="HC16" s="157">
        <f t="shared" si="87"/>
        <v>0.63079369678455721</v>
      </c>
      <c r="HD16" s="154">
        <f t="shared" si="88"/>
        <v>0.24896586518663816</v>
      </c>
      <c r="HE16" s="144">
        <v>73.599999999999994</v>
      </c>
      <c r="HF16" s="146"/>
      <c r="HG16" s="158">
        <f t="shared" si="89"/>
        <v>120.05183589361525</v>
      </c>
      <c r="HH16" s="2">
        <f t="shared" si="90"/>
        <v>96.820251524751527</v>
      </c>
      <c r="HI16" s="2">
        <f t="shared" si="91"/>
        <v>96.014777237388799</v>
      </c>
      <c r="HJ16" s="2">
        <f t="shared" si="92"/>
        <v>99.475065616797892</v>
      </c>
      <c r="HK16" s="2">
        <f t="shared" si="93"/>
        <v>130.26600834309002</v>
      </c>
      <c r="HL16" s="2">
        <f t="shared" si="180"/>
        <v>100.29790401399332</v>
      </c>
      <c r="HM16" s="2">
        <f t="shared" si="94"/>
        <v>138.61106882472066</v>
      </c>
      <c r="HN16" s="2">
        <f t="shared" si="95"/>
        <v>99.174321074885626</v>
      </c>
      <c r="HO16" s="2">
        <f t="shared" si="181"/>
        <v>89.872794267844995</v>
      </c>
      <c r="HP16" s="2">
        <f t="shared" si="96"/>
        <v>87.381946472183557</v>
      </c>
      <c r="HQ16" s="2">
        <f t="shared" si="182"/>
        <v>86.877110900539705</v>
      </c>
      <c r="HR16" s="159">
        <f t="shared" si="97"/>
        <v>122.43056730913897</v>
      </c>
      <c r="HS16" s="12">
        <f t="shared" si="98"/>
        <v>127.58127254943071</v>
      </c>
      <c r="HT16" s="12">
        <f t="shared" si="99"/>
        <v>86.752180355314408</v>
      </c>
      <c r="HU16" s="12">
        <f t="shared" si="100"/>
        <v>96.080501339147446</v>
      </c>
      <c r="HV16" s="12">
        <f t="shared" si="101"/>
        <v>128.24870562862014</v>
      </c>
      <c r="HW16" s="12">
        <f t="shared" si="183"/>
        <v>100.24114588691668</v>
      </c>
      <c r="HX16" s="12">
        <f t="shared" si="102"/>
        <v>133.54165347223164</v>
      </c>
      <c r="HY16" s="12">
        <f t="shared" si="103"/>
        <v>99.665322922671635</v>
      </c>
      <c r="HZ16" s="12">
        <f t="shared" si="104"/>
        <v>84.415328446144443</v>
      </c>
      <c r="IA16" s="12">
        <f t="shared" si="105"/>
        <v>88.310440221668912</v>
      </c>
      <c r="IB16" s="12">
        <f t="shared" si="184"/>
        <v>91.960709968848121</v>
      </c>
      <c r="IC16" s="158">
        <f t="shared" si="106"/>
        <v>134.52714533845261</v>
      </c>
      <c r="ID16" s="2">
        <f t="shared" si="107"/>
        <v>99.768142794149142</v>
      </c>
      <c r="IE16" s="2">
        <f t="shared" si="108"/>
        <v>98.942189084480788</v>
      </c>
      <c r="IF16" s="2">
        <f t="shared" si="109"/>
        <v>99.475065616797892</v>
      </c>
      <c r="IG16" s="2">
        <f t="shared" si="110"/>
        <v>133.80822416300867</v>
      </c>
      <c r="IH16" s="2">
        <f t="shared" si="185"/>
        <v>100.2979040139933</v>
      </c>
      <c r="II16" s="2">
        <f t="shared" si="111"/>
        <v>134.91592302375892</v>
      </c>
      <c r="IJ16" s="2">
        <f t="shared" si="112"/>
        <v>99.174321074885626</v>
      </c>
      <c r="IK16" s="2">
        <f t="shared" si="113"/>
        <v>98.533724340175937</v>
      </c>
      <c r="IL16" s="2">
        <f t="shared" si="114"/>
        <v>74.329326041775346</v>
      </c>
      <c r="IM16" s="2">
        <f t="shared" si="186"/>
        <v>100</v>
      </c>
      <c r="IN16" s="159">
        <f t="shared" si="115"/>
        <v>125.069330822708</v>
      </c>
      <c r="IO16" s="12">
        <f t="shared" si="116"/>
        <v>93.722913230637843</v>
      </c>
      <c r="IP16" s="12">
        <f t="shared" si="117"/>
        <v>97.159756171934959</v>
      </c>
      <c r="IQ16" s="12">
        <f t="shared" si="118"/>
        <v>96.080501339147446</v>
      </c>
      <c r="IR16" s="12">
        <f t="shared" si="119"/>
        <v>128.24870562862014</v>
      </c>
      <c r="IS16" s="12">
        <f t="shared" si="187"/>
        <v>97.54949779736134</v>
      </c>
      <c r="IT16" s="12">
        <f t="shared" si="120"/>
        <v>133.54165347223164</v>
      </c>
      <c r="IU16" s="12">
        <f t="shared" si="121"/>
        <v>103.65971119404587</v>
      </c>
      <c r="IV16" s="12">
        <f t="shared" si="122"/>
        <v>94.325836115767032</v>
      </c>
      <c r="IW16" s="12">
        <f t="shared" si="123"/>
        <v>73.167979162678463</v>
      </c>
      <c r="IX16" s="12">
        <f t="shared" si="188"/>
        <v>91.407752375605696</v>
      </c>
      <c r="IY16" s="160">
        <f t="shared" si="124"/>
        <v>124.19355149842657</v>
      </c>
      <c r="IZ16" s="25">
        <f t="shared" si="125"/>
        <v>94.810341598082942</v>
      </c>
      <c r="JA16" s="25">
        <f t="shared" si="126"/>
        <v>96.509474689642474</v>
      </c>
      <c r="JB16" s="25">
        <f t="shared" si="127"/>
        <v>96.080501339147446</v>
      </c>
      <c r="JC16" s="25">
        <f t="shared" si="128"/>
        <v>128.24870562862014</v>
      </c>
      <c r="JD16" s="25">
        <f t="shared" si="189"/>
        <v>98.664741689804984</v>
      </c>
      <c r="JE16" s="25">
        <f t="shared" si="129"/>
        <v>125.07735613281024</v>
      </c>
      <c r="JF16" s="25">
        <f t="shared" si="130"/>
        <v>101.81102485534966</v>
      </c>
      <c r="JG16" s="25">
        <f t="shared" si="131"/>
        <v>94.756761955471475</v>
      </c>
      <c r="JH16" s="25">
        <f t="shared" si="132"/>
        <v>78.894224981211963</v>
      </c>
      <c r="JI16" s="25">
        <f t="shared" si="190"/>
        <v>98.023867956576325</v>
      </c>
    </row>
    <row r="17" spans="1:269" x14ac:dyDescent="0.35">
      <c r="A17" s="109">
        <v>2002</v>
      </c>
      <c r="B17" s="110">
        <v>584636000000</v>
      </c>
      <c r="C17" s="111">
        <v>70.599999999999994</v>
      </c>
      <c r="D17" s="112">
        <f t="shared" si="133"/>
        <v>0.70599999999999996</v>
      </c>
      <c r="E17" s="111">
        <f t="shared" si="134"/>
        <v>8280963172.804533</v>
      </c>
      <c r="F17" s="113">
        <f t="shared" si="135"/>
        <v>828096317280.45325</v>
      </c>
      <c r="G17" s="114">
        <v>24489000000</v>
      </c>
      <c r="H17" s="110">
        <v>7992000000</v>
      </c>
      <c r="I17" s="110">
        <v>215099000000</v>
      </c>
      <c r="J17" s="110">
        <v>77317000000</v>
      </c>
      <c r="K17" s="112">
        <v>69.5</v>
      </c>
      <c r="L17" s="112">
        <f t="shared" si="136"/>
        <v>0.69499999999999995</v>
      </c>
      <c r="M17" s="112">
        <f t="shared" si="137"/>
        <v>352359712.23021585</v>
      </c>
      <c r="N17" s="112">
        <f t="shared" si="138"/>
        <v>3094949640.2877698</v>
      </c>
      <c r="O17" s="112">
        <f t="shared" si="139"/>
        <v>3094949640.2877698</v>
      </c>
      <c r="P17" s="112">
        <f t="shared" si="140"/>
        <v>35235971223.021584</v>
      </c>
      <c r="Q17" s="112">
        <f t="shared" si="141"/>
        <v>11499280575.53957</v>
      </c>
      <c r="R17" s="112">
        <f t="shared" si="142"/>
        <v>309494964028.77698</v>
      </c>
      <c r="S17" s="115">
        <f t="shared" si="143"/>
        <v>356230215827.33813</v>
      </c>
      <c r="T17" s="112">
        <f t="shared" si="144"/>
        <v>1112474820.1438849</v>
      </c>
      <c r="U17" s="115">
        <f t="shared" si="145"/>
        <v>111247482014.3885</v>
      </c>
      <c r="V17" s="116">
        <f t="shared" si="146"/>
        <v>1295574015122.1799</v>
      </c>
      <c r="W17" s="117">
        <f t="shared" si="147"/>
        <v>909533000000</v>
      </c>
      <c r="X17" s="112">
        <v>65.894549999999995</v>
      </c>
      <c r="Y17" s="112">
        <f t="shared" si="148"/>
        <v>0.65894549999999996</v>
      </c>
      <c r="Z17" s="112">
        <f t="shared" si="149"/>
        <v>1380285623014.3464</v>
      </c>
      <c r="AA17" s="115">
        <v>0.26500000000000001</v>
      </c>
      <c r="AB17" s="115">
        <v>0.32</v>
      </c>
      <c r="AC17" s="115">
        <f t="shared" si="150"/>
        <v>0.58499999999999996</v>
      </c>
      <c r="AD17" s="118">
        <v>0.29347655061724093</v>
      </c>
      <c r="AE17" s="115">
        <f t="shared" si="151"/>
        <v>0.87847655061724095</v>
      </c>
      <c r="AF17" s="115">
        <f t="shared" si="152"/>
        <v>0.12152344938275905</v>
      </c>
      <c r="AG17" s="119">
        <v>0.26015822627280721</v>
      </c>
      <c r="AH17" s="119">
        <v>0.31512292117930613</v>
      </c>
      <c r="AI17" s="119">
        <f t="shared" si="153"/>
        <v>0.57528114745211334</v>
      </c>
      <c r="AJ17" s="16">
        <v>2801000</v>
      </c>
      <c r="AK17" s="120">
        <v>22213000</v>
      </c>
      <c r="AL17" s="121">
        <f t="shared" si="154"/>
        <v>25014000</v>
      </c>
      <c r="AM17" s="122">
        <v>0.16572609999999999</v>
      </c>
      <c r="AN17" s="123">
        <f t="shared" si="191"/>
        <v>3681273.8592999997</v>
      </c>
      <c r="AO17" s="124">
        <v>0.83399999999999996</v>
      </c>
      <c r="AP17" s="123">
        <f t="shared" si="155"/>
        <v>18525642</v>
      </c>
      <c r="AQ17" s="125">
        <v>0.47925050000000002</v>
      </c>
      <c r="AR17" s="123">
        <f t="shared" si="156"/>
        <v>8878423.1913210005</v>
      </c>
      <c r="AS17" s="123">
        <f t="shared" si="157"/>
        <v>9647218.8086789995</v>
      </c>
      <c r="AT17" s="115">
        <f t="shared" si="0"/>
        <v>475.32159048466326</v>
      </c>
      <c r="AU17" s="126">
        <v>0.62336530000000001</v>
      </c>
      <c r="AV17" s="123">
        <f t="shared" si="1"/>
        <v>2294778.3836847022</v>
      </c>
      <c r="AW17" s="123">
        <f t="shared" si="158"/>
        <v>1386495.4756152974</v>
      </c>
      <c r="AX17" s="127">
        <f t="shared" si="159"/>
        <v>11173201.575005703</v>
      </c>
      <c r="AY17" s="127">
        <f t="shared" si="159"/>
        <v>11033714.284294296</v>
      </c>
      <c r="AZ17" s="16">
        <f t="shared" si="2"/>
        <v>56719400979.427551</v>
      </c>
      <c r="BA17" s="16">
        <f t="shared" si="3"/>
        <v>54528081034.960953</v>
      </c>
      <c r="BB17" s="16">
        <f t="shared" si="4"/>
        <v>219445524079.32013</v>
      </c>
      <c r="BC17" s="16">
        <f t="shared" si="5"/>
        <v>264990821529.74506</v>
      </c>
      <c r="BD17" s="17">
        <f t="shared" si="6"/>
        <v>243026850774.30774</v>
      </c>
      <c r="BE17" s="16">
        <f t="shared" si="160"/>
        <v>727463196383.37292</v>
      </c>
      <c r="BF17" s="117">
        <v>828096317280.45325</v>
      </c>
      <c r="BG17" s="116">
        <f t="shared" si="161"/>
        <v>0.87847655061724095</v>
      </c>
      <c r="BH17" s="115">
        <v>0.87847655061724095</v>
      </c>
      <c r="BI17" s="17">
        <v>41612692.833214819</v>
      </c>
      <c r="BJ17" s="7">
        <f t="shared" si="162"/>
        <v>727463196383.37292</v>
      </c>
      <c r="BK17" s="16">
        <f t="shared" si="163"/>
        <v>276164925058.74768</v>
      </c>
      <c r="BL17" s="112">
        <f t="shared" si="7"/>
        <v>33105.313715537428</v>
      </c>
      <c r="BM17" s="112">
        <f t="shared" si="8"/>
        <v>29082.241799926956</v>
      </c>
      <c r="BN17" s="115">
        <f t="shared" si="9"/>
        <v>24716.72270520249</v>
      </c>
      <c r="BO17" s="112">
        <f t="shared" si="164"/>
        <v>636.64064837571982</v>
      </c>
      <c r="BP17" s="112">
        <f t="shared" si="164"/>
        <v>559.27388076782609</v>
      </c>
      <c r="BQ17" s="115">
        <f t="shared" si="164"/>
        <v>475.32159048466326</v>
      </c>
      <c r="BR17" s="112">
        <f t="shared" si="10"/>
        <v>467477697841.72668</v>
      </c>
      <c r="BS17" s="115">
        <f t="shared" si="11"/>
        <v>1019409090063.4323</v>
      </c>
      <c r="BT17" s="112">
        <f t="shared" si="12"/>
        <v>467477697841.72662</v>
      </c>
      <c r="BU17" s="115">
        <f t="shared" si="13"/>
        <v>675749118392.04419</v>
      </c>
      <c r="BV17" s="118">
        <f t="shared" si="14"/>
        <v>918775969166.35193</v>
      </c>
      <c r="BW17" s="112">
        <f t="shared" si="15"/>
        <v>51793.95598953306</v>
      </c>
      <c r="BX17" s="115">
        <f t="shared" si="16"/>
        <v>115953.69567307916</v>
      </c>
      <c r="BY17" s="128">
        <f t="shared" si="17"/>
        <v>1162435913537.4475</v>
      </c>
      <c r="BZ17" s="119">
        <f t="shared" si="18"/>
        <v>1195747211169.2844</v>
      </c>
      <c r="CA17" s="113">
        <v>37.5</v>
      </c>
      <c r="CB17" s="113">
        <v>15.5</v>
      </c>
      <c r="CC17" s="113">
        <v>9.4</v>
      </c>
      <c r="CD17" s="113">
        <v>18170976.885343768</v>
      </c>
      <c r="CE17" s="113">
        <v>6211755.4693939844</v>
      </c>
      <c r="CF17" s="113">
        <v>1149309.6485534026</v>
      </c>
      <c r="CG17" s="113">
        <f t="shared" si="165"/>
        <v>25532042.003291152</v>
      </c>
      <c r="CH17" s="113">
        <v>25014000</v>
      </c>
      <c r="CI17" s="113">
        <f t="shared" si="166"/>
        <v>-518042.00329115242</v>
      </c>
      <c r="CJ17" s="122">
        <f t="shared" si="167"/>
        <v>0.71169305153898299</v>
      </c>
      <c r="CK17" s="122">
        <f t="shared" si="168"/>
        <v>0.24329254466185163</v>
      </c>
      <c r="CL17" s="122">
        <f t="shared" si="169"/>
        <v>4.5014403799165513E-2</v>
      </c>
      <c r="CM17" s="129">
        <f t="shared" si="19"/>
        <v>30.882659270682716</v>
      </c>
      <c r="CN17" s="16">
        <v>901987731.1913439</v>
      </c>
      <c r="CO17" s="16">
        <f t="shared" si="20"/>
        <v>788497353.6724</v>
      </c>
      <c r="CP17" s="130">
        <v>31.53</v>
      </c>
      <c r="CQ17" s="131">
        <f t="shared" si="192"/>
        <v>30.23531854136543</v>
      </c>
      <c r="CR17" s="5">
        <v>34.76</v>
      </c>
      <c r="CS17" s="132">
        <v>40.61</v>
      </c>
      <c r="CT17" s="5">
        <f t="shared" si="21"/>
        <v>35.961486740791095</v>
      </c>
      <c r="CU17" s="5">
        <v>32.61</v>
      </c>
      <c r="CV17" s="5">
        <v>43.81</v>
      </c>
      <c r="CW17" s="133"/>
      <c r="CX17" s="134">
        <v>33.85</v>
      </c>
      <c r="CY17" s="5">
        <f t="shared" si="193"/>
        <v>33.513789487079329</v>
      </c>
      <c r="CZ17" s="5">
        <f t="shared" si="170"/>
        <v>36.455319611431619</v>
      </c>
      <c r="DA17" s="5">
        <f t="shared" si="194"/>
        <v>36.072545020586091</v>
      </c>
      <c r="DB17" s="117">
        <f t="shared" si="171"/>
        <v>1895.6766197944442</v>
      </c>
      <c r="DC17" s="135">
        <f t="shared" si="171"/>
        <v>1875.7723410704766</v>
      </c>
      <c r="DD17" s="5">
        <f t="shared" si="22"/>
        <v>1869.997310521137</v>
      </c>
      <c r="DE17" s="131">
        <f t="shared" si="23"/>
        <v>382831292.41465503</v>
      </c>
      <c r="DF17" s="5">
        <f t="shared" si="24"/>
        <v>308613990.13031799</v>
      </c>
      <c r="DG17" s="131">
        <f t="shared" si="25"/>
        <v>497951996.80636567</v>
      </c>
      <c r="DH17" s="5">
        <f t="shared" si="26"/>
        <v>93190950.161435753</v>
      </c>
      <c r="DI17" s="7">
        <f t="shared" si="195"/>
        <v>911893364.76035058</v>
      </c>
      <c r="DJ17" s="136">
        <f t="shared" si="172"/>
        <v>1300113325.970118</v>
      </c>
      <c r="DK17" s="16">
        <f t="shared" si="27"/>
        <v>401804940.29175377</v>
      </c>
      <c r="DL17" s="7">
        <f t="shared" si="196"/>
        <v>47418454967.538231</v>
      </c>
      <c r="DM17" s="136">
        <f t="shared" si="196"/>
        <v>67605892950.446136</v>
      </c>
      <c r="DN17" s="16">
        <f t="shared" si="173"/>
        <v>20893856895.171196</v>
      </c>
      <c r="DO17" s="117">
        <f t="shared" si="197"/>
        <v>1895.6766197944444</v>
      </c>
      <c r="DP17" s="135">
        <f t="shared" si="198"/>
        <v>1875.7723410704768</v>
      </c>
      <c r="DQ17" s="5">
        <f t="shared" si="28"/>
        <v>1869.997310521137</v>
      </c>
      <c r="DR17" s="117">
        <f t="shared" si="29"/>
        <v>27.32214737930844</v>
      </c>
      <c r="DS17" s="135">
        <f t="shared" si="199"/>
        <v>19.163625515187139</v>
      </c>
      <c r="DT17" s="5">
        <f t="shared" si="30"/>
        <v>62.007413069896231</v>
      </c>
      <c r="DU17" s="137">
        <f t="shared" si="31"/>
        <v>24.001865785230766</v>
      </c>
      <c r="DV17" s="138">
        <f t="shared" si="32"/>
        <v>45.55951771981313</v>
      </c>
      <c r="DW17" s="130">
        <f t="shared" si="33"/>
        <v>57.191015532477572</v>
      </c>
      <c r="DX17" s="137">
        <v>24.514419846307288</v>
      </c>
      <c r="DY17" s="138">
        <v>57.229606633595495</v>
      </c>
      <c r="DZ17" s="137">
        <f t="shared" si="34"/>
        <v>27.322147379308436</v>
      </c>
      <c r="EA17" s="138">
        <v>41.811368268852121</v>
      </c>
      <c r="EB17" s="130">
        <v>52.714721068561268</v>
      </c>
      <c r="EC17" s="139">
        <f t="shared" si="35"/>
        <v>0.56452092357682226</v>
      </c>
      <c r="ED17" s="140">
        <f t="shared" si="36"/>
        <v>3.6913054394817757</v>
      </c>
      <c r="EE17" s="139">
        <f t="shared" si="37"/>
        <v>0.56452092357682215</v>
      </c>
      <c r="EF17" s="141">
        <f t="shared" si="38"/>
        <v>3.3269104285089921</v>
      </c>
      <c r="EG17" s="142">
        <f t="shared" si="39"/>
        <v>2.4469042122141116</v>
      </c>
      <c r="EH17" s="117">
        <f t="shared" si="40"/>
        <v>23.301266900341055</v>
      </c>
      <c r="EI17" s="117">
        <f t="shared" si="41"/>
        <v>13.154052711090564</v>
      </c>
      <c r="EJ17" s="135">
        <f t="shared" si="42"/>
        <v>8.336790330327295</v>
      </c>
      <c r="EK17" s="135">
        <f t="shared" si="43"/>
        <v>27.735754690258794</v>
      </c>
      <c r="EL17" s="143">
        <f t="shared" si="44"/>
        <v>10.432981169990596</v>
      </c>
      <c r="EM17" s="143">
        <f t="shared" si="45"/>
        <v>25.528505570800498</v>
      </c>
      <c r="EN17" s="144">
        <f t="shared" si="46"/>
        <v>23.968998710651409</v>
      </c>
      <c r="EO17" s="145">
        <f t="shared" si="47"/>
        <v>13.531001289348591</v>
      </c>
      <c r="EP17" s="146">
        <f t="shared" si="48"/>
        <v>10.432981169990596</v>
      </c>
      <c r="EQ17" s="134">
        <f t="shared" si="49"/>
        <v>25.528505570800498</v>
      </c>
      <c r="ER17" s="130">
        <f t="shared" si="50"/>
        <v>8.3111234528566502</v>
      </c>
      <c r="ES17" s="130">
        <f t="shared" si="51"/>
        <v>27.650363287934447</v>
      </c>
      <c r="ET17" s="117">
        <f t="shared" si="200"/>
        <v>11.93531961143162</v>
      </c>
      <c r="EU17" s="135">
        <f t="shared" si="201"/>
        <v>26.582545020586089</v>
      </c>
      <c r="EV17" s="5">
        <f t="shared" si="52"/>
        <v>24.351486740791096</v>
      </c>
      <c r="EW17" s="145">
        <f t="shared" si="53"/>
        <v>13.04</v>
      </c>
      <c r="EX17" s="134">
        <f t="shared" si="54"/>
        <v>24.295486740791095</v>
      </c>
      <c r="EY17" s="130">
        <f t="shared" si="55"/>
        <v>26.491486740791096</v>
      </c>
      <c r="EZ17" s="117">
        <f t="shared" si="202"/>
        <v>48.675854859019658</v>
      </c>
      <c r="FA17" s="135">
        <f t="shared" si="203"/>
        <v>280.11111718215056</v>
      </c>
      <c r="FB17" s="5">
        <f t="shared" si="174"/>
        <v>209.74579449432471</v>
      </c>
      <c r="FC17" s="145">
        <f t="shared" si="56"/>
        <v>53.311529026982832</v>
      </c>
      <c r="FD17" s="134">
        <f t="shared" si="57"/>
        <v>208.25892971705034</v>
      </c>
      <c r="FE17" s="130">
        <f t="shared" si="58"/>
        <v>279.74114826600942</v>
      </c>
      <c r="FF17" s="117">
        <f t="shared" si="59"/>
        <v>15.341351734917984</v>
      </c>
      <c r="FG17" s="135">
        <f t="shared" si="175"/>
        <v>17.648897465160776</v>
      </c>
      <c r="FH17" s="5">
        <f t="shared" si="60"/>
        <v>13.217517782586732</v>
      </c>
      <c r="FI17" s="145">
        <f t="shared" si="61"/>
        <v>15.341351734917984</v>
      </c>
      <c r="FJ17" s="134">
        <f t="shared" si="62"/>
        <v>13.217517782586732</v>
      </c>
      <c r="FK17" s="145">
        <f t="shared" si="63"/>
        <v>17.463587074849912</v>
      </c>
      <c r="FL17" s="134">
        <f t="shared" si="64"/>
        <v>13.217517782586732</v>
      </c>
      <c r="FM17" s="130">
        <v>12.390086112818491</v>
      </c>
      <c r="FN17" s="111">
        <v>74.5</v>
      </c>
      <c r="FO17" s="147">
        <f t="shared" si="65"/>
        <v>2.7267256473559689</v>
      </c>
      <c r="FP17" s="148">
        <f t="shared" si="66"/>
        <v>3.8875733582332259</v>
      </c>
      <c r="FQ17" s="149">
        <f t="shared" si="67"/>
        <v>1.2014692487819454</v>
      </c>
      <c r="FR17" s="150">
        <f t="shared" si="68"/>
        <v>3.6600344259811665E-2</v>
      </c>
      <c r="FS17" s="151">
        <f t="shared" si="68"/>
        <v>5.2182192727962762E-2</v>
      </c>
      <c r="FT17" s="122">
        <f t="shared" si="68"/>
        <v>1.6127104010495909E-2</v>
      </c>
      <c r="FU17" s="152">
        <f t="shared" si="69"/>
        <v>1.3725129097429376</v>
      </c>
      <c r="FV17" s="140">
        <f t="shared" si="70"/>
        <v>0.78932983799238066</v>
      </c>
      <c r="FW17" s="153">
        <f t="shared" si="71"/>
        <v>0.62879608634278095</v>
      </c>
      <c r="FX17" s="152">
        <f t="shared" si="72"/>
        <v>1.8134266285784075</v>
      </c>
      <c r="FY17" s="140">
        <f t="shared" si="73"/>
        <v>0.57995463704080752</v>
      </c>
      <c r="FZ17" s="140">
        <f t="shared" si="176"/>
        <v>41.045151575603796</v>
      </c>
      <c r="GA17" s="153">
        <f t="shared" si="176"/>
        <v>32.697396489824612</v>
      </c>
      <c r="GB17" s="152">
        <f t="shared" si="74"/>
        <v>4.1663427707996636E-2</v>
      </c>
      <c r="GC17" s="154">
        <f t="shared" si="75"/>
        <v>1.6127104010495909E-2</v>
      </c>
      <c r="GD17" s="152">
        <f t="shared" si="76"/>
        <v>3.6600344259811679E-2</v>
      </c>
      <c r="GE17" s="154">
        <f t="shared" si="77"/>
        <v>2.1949310485460109E-2</v>
      </c>
      <c r="GF17" s="155">
        <f t="shared" si="78"/>
        <v>1.8652960487130801E-2</v>
      </c>
      <c r="GG17" s="152">
        <f t="shared" si="79"/>
        <v>317.24508783154772</v>
      </c>
      <c r="GH17" s="134">
        <f t="shared" si="80"/>
        <v>35.961486740791095</v>
      </c>
      <c r="GI17" s="130">
        <f t="shared" si="81"/>
        <v>35.961486740791095</v>
      </c>
      <c r="GJ17" s="152">
        <f t="shared" si="82"/>
        <v>1.0213547590701018</v>
      </c>
      <c r="GK17" s="154">
        <f t="shared" si="82"/>
        <v>0.92294781865976117</v>
      </c>
      <c r="GL17" s="152">
        <f t="shared" si="82"/>
        <v>1.0000000000000002</v>
      </c>
      <c r="GM17" s="154">
        <f t="shared" si="82"/>
        <v>0.91773070395494993</v>
      </c>
      <c r="GN17" s="154">
        <f t="shared" si="82"/>
        <v>0.98328560918199481</v>
      </c>
      <c r="GO17" s="112">
        <f t="shared" si="177"/>
        <v>0.56149875490885715</v>
      </c>
      <c r="GP17" s="156">
        <f t="shared" si="177"/>
        <v>0.92095816896307303</v>
      </c>
      <c r="GQ17" s="115">
        <f t="shared" si="177"/>
        <v>0.2131602840403555</v>
      </c>
      <c r="GR17" s="117">
        <f t="shared" si="204"/>
        <v>404.08296672404475</v>
      </c>
      <c r="GS17" s="135">
        <f t="shared" si="178"/>
        <v>1727.5078606238433</v>
      </c>
      <c r="GT17" s="5">
        <f t="shared" si="178"/>
        <v>398.60915786538646</v>
      </c>
      <c r="GU17" s="130">
        <f t="shared" si="83"/>
        <v>432.17841954854583</v>
      </c>
      <c r="GV17" s="145">
        <f t="shared" si="84"/>
        <v>1064.4200617244117</v>
      </c>
      <c r="GW17" s="134">
        <f t="shared" si="85"/>
        <v>431.88699274918713</v>
      </c>
      <c r="GX17" s="157">
        <f t="shared" si="179"/>
        <v>0.63917329895070418</v>
      </c>
      <c r="GY17" s="154">
        <f t="shared" si="86"/>
        <v>0.2131602840403555</v>
      </c>
      <c r="GZ17" s="157">
        <f t="shared" si="86"/>
        <v>0.6391732989507044</v>
      </c>
      <c r="HA17" s="154">
        <f t="shared" si="86"/>
        <v>0.29011540165708644</v>
      </c>
      <c r="HB17" s="155">
        <f t="shared" si="86"/>
        <v>0.23111178669455137</v>
      </c>
      <c r="HC17" s="157">
        <f t="shared" si="87"/>
        <v>0.62580929229002003</v>
      </c>
      <c r="HD17" s="154">
        <f t="shared" si="88"/>
        <v>0.23095594326220045</v>
      </c>
      <c r="HE17" s="144">
        <v>74.5</v>
      </c>
      <c r="HF17" s="146"/>
      <c r="HG17" s="158">
        <f t="shared" si="89"/>
        <v>124.81883832132019</v>
      </c>
      <c r="HH17" s="2">
        <f t="shared" si="90"/>
        <v>95.262742846856312</v>
      </c>
      <c r="HI17" s="2">
        <f t="shared" si="91"/>
        <v>96.437336591573057</v>
      </c>
      <c r="HJ17" s="2">
        <f t="shared" si="92"/>
        <v>98.425196850393689</v>
      </c>
      <c r="HK17" s="2">
        <f t="shared" si="93"/>
        <v>132.54135323314131</v>
      </c>
      <c r="HL17" s="2">
        <f t="shared" si="180"/>
        <v>99.559703886402517</v>
      </c>
      <c r="HM17" s="2">
        <f t="shared" si="94"/>
        <v>142.97625102439872</v>
      </c>
      <c r="HN17" s="2">
        <f t="shared" si="95"/>
        <v>101.23938300547375</v>
      </c>
      <c r="HO17" s="2">
        <f t="shared" si="181"/>
        <v>87.50234319231393</v>
      </c>
      <c r="HP17" s="2">
        <f t="shared" si="96"/>
        <v>85.53360040641077</v>
      </c>
      <c r="HQ17" s="2">
        <f t="shared" si="182"/>
        <v>86.924549065958161</v>
      </c>
      <c r="HR17" s="159">
        <f t="shared" si="97"/>
        <v>128.31750366277018</v>
      </c>
      <c r="HS17" s="12">
        <f t="shared" si="98"/>
        <v>121.73840338378758</v>
      </c>
      <c r="HT17" s="12">
        <f t="shared" si="99"/>
        <v>88.211836803042488</v>
      </c>
      <c r="HU17" s="12">
        <f t="shared" si="100"/>
        <v>95.871732180194869</v>
      </c>
      <c r="HV17" s="12">
        <f t="shared" si="101"/>
        <v>124.42099794744826</v>
      </c>
      <c r="HW17" s="12">
        <f t="shared" si="183"/>
        <v>93.327619982642517</v>
      </c>
      <c r="HX17" s="12">
        <f t="shared" si="102"/>
        <v>129.83809216686376</v>
      </c>
      <c r="HY17" s="12">
        <f t="shared" si="103"/>
        <v>109.24060062507846</v>
      </c>
      <c r="HZ17" s="12">
        <f t="shared" si="104"/>
        <v>84.14473649202175</v>
      </c>
      <c r="IA17" s="12">
        <f t="shared" si="105"/>
        <v>85.599120032911472</v>
      </c>
      <c r="IB17" s="12">
        <f t="shared" si="184"/>
        <v>92.29478186597612</v>
      </c>
      <c r="IC17" s="158">
        <f t="shared" si="106"/>
        <v>139.1148033569676</v>
      </c>
      <c r="ID17" s="2">
        <f t="shared" si="107"/>
        <v>97.988629698914238</v>
      </c>
      <c r="IE17" s="2">
        <f t="shared" si="108"/>
        <v>99.200889218098183</v>
      </c>
      <c r="IF17" s="2">
        <f t="shared" si="109"/>
        <v>98.425196850393689</v>
      </c>
      <c r="IG17" s="2">
        <f t="shared" si="110"/>
        <v>136.80876934910179</v>
      </c>
      <c r="IH17" s="2">
        <f t="shared" si="185"/>
        <v>99.559703886402545</v>
      </c>
      <c r="II17" s="2">
        <f t="shared" si="111"/>
        <v>138.48998473314759</v>
      </c>
      <c r="IJ17" s="2">
        <f t="shared" si="112"/>
        <v>101.23938300547373</v>
      </c>
      <c r="IK17" s="2">
        <f t="shared" si="113"/>
        <v>95.601173020527852</v>
      </c>
      <c r="IL17" s="2">
        <f t="shared" si="114"/>
        <v>71.878130910863476</v>
      </c>
      <c r="IM17" s="2">
        <f t="shared" si="186"/>
        <v>100.00000000000003</v>
      </c>
      <c r="IN17" s="159">
        <f t="shared" si="115"/>
        <v>127.66830005756373</v>
      </c>
      <c r="IO17" s="12">
        <f t="shared" si="116"/>
        <v>89.430663209245637</v>
      </c>
      <c r="IP17" s="12">
        <f t="shared" si="117"/>
        <v>98.794526202788305</v>
      </c>
      <c r="IQ17" s="12">
        <f t="shared" si="118"/>
        <v>95.871732180194869</v>
      </c>
      <c r="IR17" s="12">
        <f t="shared" si="119"/>
        <v>124.42099794744826</v>
      </c>
      <c r="IS17" s="12">
        <f t="shared" si="187"/>
        <v>93.284695066587275</v>
      </c>
      <c r="IT17" s="12">
        <f t="shared" si="120"/>
        <v>129.83809216686376</v>
      </c>
      <c r="IU17" s="12">
        <f t="shared" si="121"/>
        <v>110.46273428379749</v>
      </c>
      <c r="IV17" s="12">
        <f t="shared" si="122"/>
        <v>94.022781504609497</v>
      </c>
      <c r="IW17" s="12">
        <f t="shared" si="123"/>
        <v>71.964952411344612</v>
      </c>
      <c r="IX17" s="12">
        <f t="shared" si="188"/>
        <v>91.773070395494997</v>
      </c>
      <c r="IY17" s="160">
        <f t="shared" si="124"/>
        <v>130.67605619375624</v>
      </c>
      <c r="IZ17" s="25">
        <f t="shared" si="125"/>
        <v>87.762655257197991</v>
      </c>
      <c r="JA17" s="25">
        <f t="shared" si="126"/>
        <v>98.6104254205936</v>
      </c>
      <c r="JB17" s="25">
        <f t="shared" si="127"/>
        <v>95.871732180194869</v>
      </c>
      <c r="JC17" s="25">
        <f t="shared" si="128"/>
        <v>124.42099794744826</v>
      </c>
      <c r="JD17" s="25">
        <f t="shared" si="189"/>
        <v>91.529420473089658</v>
      </c>
      <c r="JE17" s="25">
        <f t="shared" si="129"/>
        <v>121.71007969369833</v>
      </c>
      <c r="JF17" s="25">
        <f t="shared" si="130"/>
        <v>112.38119526915438</v>
      </c>
      <c r="JG17" s="25">
        <f t="shared" si="131"/>
        <v>94.477484810239289</v>
      </c>
      <c r="JH17" s="25">
        <f t="shared" si="132"/>
        <v>75.213550351333879</v>
      </c>
      <c r="JI17" s="25">
        <f t="shared" si="190"/>
        <v>98.328560918199486</v>
      </c>
    </row>
    <row r="18" spans="1:269" x14ac:dyDescent="0.35">
      <c r="A18" s="109">
        <v>2003</v>
      </c>
      <c r="B18" s="110">
        <v>615071000000</v>
      </c>
      <c r="C18" s="111">
        <v>72.099999999999994</v>
      </c>
      <c r="D18" s="112">
        <f t="shared" si="133"/>
        <v>0.72099999999999997</v>
      </c>
      <c r="E18" s="111">
        <f t="shared" si="134"/>
        <v>8530804438.2801676</v>
      </c>
      <c r="F18" s="113">
        <f t="shared" si="135"/>
        <v>853080443828.01672</v>
      </c>
      <c r="G18" s="114">
        <v>31468000000</v>
      </c>
      <c r="H18" s="110">
        <v>8970000000</v>
      </c>
      <c r="I18" s="110">
        <v>233132000000</v>
      </c>
      <c r="J18" s="110">
        <v>79027000000</v>
      </c>
      <c r="K18" s="112">
        <v>72.3</v>
      </c>
      <c r="L18" s="112">
        <f t="shared" si="136"/>
        <v>0.72299999999999998</v>
      </c>
      <c r="M18" s="112">
        <f t="shared" si="137"/>
        <v>435242047.02627939</v>
      </c>
      <c r="N18" s="112">
        <f t="shared" si="138"/>
        <v>3224508990.318119</v>
      </c>
      <c r="O18" s="112">
        <f t="shared" si="139"/>
        <v>3224508990.318119</v>
      </c>
      <c r="P18" s="112">
        <f t="shared" si="140"/>
        <v>43524204702.627937</v>
      </c>
      <c r="Q18" s="112">
        <f t="shared" si="141"/>
        <v>12406639004.149378</v>
      </c>
      <c r="R18" s="112">
        <f t="shared" si="142"/>
        <v>322450899031.81189</v>
      </c>
      <c r="S18" s="115">
        <f t="shared" si="143"/>
        <v>378381742738.58923</v>
      </c>
      <c r="T18" s="112">
        <f t="shared" si="144"/>
        <v>1093042876.901798</v>
      </c>
      <c r="U18" s="115">
        <f t="shared" si="145"/>
        <v>109304287690.17981</v>
      </c>
      <c r="V18" s="116">
        <f t="shared" si="146"/>
        <v>1340766474256.7856</v>
      </c>
      <c r="W18" s="117">
        <f t="shared" si="147"/>
        <v>967668000000</v>
      </c>
      <c r="X18" s="112">
        <v>67.696950000000001</v>
      </c>
      <c r="Y18" s="112">
        <f t="shared" si="148"/>
        <v>0.6769695</v>
      </c>
      <c r="Z18" s="112">
        <f t="shared" si="149"/>
        <v>1429411517062.4377</v>
      </c>
      <c r="AA18" s="115">
        <v>0.26200000000000001</v>
      </c>
      <c r="AB18" s="115">
        <v>0.315</v>
      </c>
      <c r="AC18" s="115">
        <f t="shared" si="150"/>
        <v>0.57699999999999996</v>
      </c>
      <c r="AD18" s="118">
        <v>0.3031082132950233</v>
      </c>
      <c r="AE18" s="115">
        <f t="shared" si="151"/>
        <v>0.88010821329502331</v>
      </c>
      <c r="AF18" s="115">
        <f t="shared" si="152"/>
        <v>0.11989178670497669</v>
      </c>
      <c r="AG18" s="119">
        <v>0.25707532322103471</v>
      </c>
      <c r="AH18" s="119">
        <v>0.31285508170071841</v>
      </c>
      <c r="AI18" s="119">
        <f t="shared" si="153"/>
        <v>0.56993040492175306</v>
      </c>
      <c r="AJ18" s="16">
        <v>2844000</v>
      </c>
      <c r="AK18" s="120">
        <v>22374000</v>
      </c>
      <c r="AL18" s="121">
        <f t="shared" si="154"/>
        <v>25218000</v>
      </c>
      <c r="AM18" s="122">
        <v>0.17016750000000003</v>
      </c>
      <c r="AN18" s="123">
        <f t="shared" si="191"/>
        <v>3807327.6450000005</v>
      </c>
      <c r="AO18" s="124">
        <v>0.83170835099618479</v>
      </c>
      <c r="AP18" s="123">
        <f t="shared" si="155"/>
        <v>18608642.645188637</v>
      </c>
      <c r="AQ18" s="125">
        <v>0.48105920000000002</v>
      </c>
      <c r="AR18" s="123">
        <f t="shared" si="156"/>
        <v>8951858.7439803295</v>
      </c>
      <c r="AS18" s="123">
        <f t="shared" si="157"/>
        <v>9656783.9012083076</v>
      </c>
      <c r="AT18" s="115">
        <f t="shared" si="0"/>
        <v>480.14754570736403</v>
      </c>
      <c r="AU18" s="126">
        <v>0.64843039999999996</v>
      </c>
      <c r="AV18" s="123">
        <f t="shared" si="1"/>
        <v>2468786.987778408</v>
      </c>
      <c r="AW18" s="123">
        <f t="shared" si="158"/>
        <v>1338540.6572215923</v>
      </c>
      <c r="AX18" s="127">
        <f t="shared" si="159"/>
        <v>11420645.731758738</v>
      </c>
      <c r="AY18" s="127">
        <f t="shared" si="159"/>
        <v>10995324.558429901</v>
      </c>
      <c r="AZ18" s="16">
        <f t="shared" si="2"/>
        <v>61639864678.916092</v>
      </c>
      <c r="BA18" s="16">
        <f t="shared" si="3"/>
        <v>47664423011.263718</v>
      </c>
      <c r="BB18" s="16">
        <f t="shared" si="4"/>
        <v>223507076282.9404</v>
      </c>
      <c r="BC18" s="16">
        <f t="shared" si="5"/>
        <v>268720339805.82526</v>
      </c>
      <c r="BD18" s="17">
        <f t="shared" si="6"/>
        <v>258575689125.63562</v>
      </c>
      <c r="BE18" s="16">
        <f t="shared" si="160"/>
        <v>750803105214.40125</v>
      </c>
      <c r="BF18" s="117">
        <v>853080443828.01672</v>
      </c>
      <c r="BG18" s="116">
        <f t="shared" si="161"/>
        <v>0.8801082132950232</v>
      </c>
      <c r="BH18" s="115">
        <v>0.88010821329502331</v>
      </c>
      <c r="BI18" s="17">
        <v>44932124.344768271</v>
      </c>
      <c r="BJ18" s="7">
        <f t="shared" si="162"/>
        <v>750803105214.40125</v>
      </c>
      <c r="BK18" s="16">
        <f t="shared" si="163"/>
        <v>285146940961.85651</v>
      </c>
      <c r="BL18" s="112">
        <f t="shared" si="7"/>
        <v>33828.23553921868</v>
      </c>
      <c r="BM18" s="112">
        <f t="shared" si="8"/>
        <v>29772.507939344963</v>
      </c>
      <c r="BN18" s="115">
        <f t="shared" si="9"/>
        <v>24967.672376782928</v>
      </c>
      <c r="BO18" s="112">
        <f t="shared" si="164"/>
        <v>650.54299113882075</v>
      </c>
      <c r="BP18" s="112">
        <f t="shared" si="164"/>
        <v>572.54822960278773</v>
      </c>
      <c r="BQ18" s="115">
        <f t="shared" si="164"/>
        <v>480.14754570736397</v>
      </c>
      <c r="BR18" s="112">
        <f t="shared" si="10"/>
        <v>487686030428.76892</v>
      </c>
      <c r="BS18" s="115">
        <f t="shared" si="11"/>
        <v>1055619533294.9292</v>
      </c>
      <c r="BT18" s="112">
        <f t="shared" si="12"/>
        <v>487686030428.76904</v>
      </c>
      <c r="BU18" s="115">
        <f t="shared" si="13"/>
        <v>694766505555.67822</v>
      </c>
      <c r="BV18" s="118">
        <f t="shared" si="14"/>
        <v>953342194681.31384</v>
      </c>
      <c r="BW18" s="112">
        <f t="shared" si="15"/>
        <v>53167.042360884516</v>
      </c>
      <c r="BX18" s="115">
        <f t="shared" si="16"/>
        <v>117398.4821653611</v>
      </c>
      <c r="BY18" s="128">
        <f t="shared" si="17"/>
        <v>1211048678337.2854</v>
      </c>
      <c r="BZ18" s="119">
        <f t="shared" si="18"/>
        <v>1241549361312.0503</v>
      </c>
      <c r="CA18" s="113">
        <v>37.4</v>
      </c>
      <c r="CB18" s="113">
        <v>15.6</v>
      </c>
      <c r="CC18" s="113">
        <v>9.3000000000000007</v>
      </c>
      <c r="CD18" s="113">
        <v>18160614.938145589</v>
      </c>
      <c r="CE18" s="113">
        <v>6300548.3149553314</v>
      </c>
      <c r="CF18" s="113">
        <v>1122067.6034618651</v>
      </c>
      <c r="CG18" s="113">
        <f t="shared" si="165"/>
        <v>25583230.856562786</v>
      </c>
      <c r="CH18" s="113">
        <v>25218000</v>
      </c>
      <c r="CI18" s="113">
        <f t="shared" si="166"/>
        <v>-365230.8565627858</v>
      </c>
      <c r="CJ18" s="122">
        <f t="shared" si="167"/>
        <v>0.70986401365669982</v>
      </c>
      <c r="CK18" s="122">
        <f t="shared" si="168"/>
        <v>0.24627649065438784</v>
      </c>
      <c r="CL18" s="122">
        <f t="shared" si="169"/>
        <v>4.3859495688912356E-2</v>
      </c>
      <c r="CM18" s="129">
        <f t="shared" si="19"/>
        <v>30.798720674875913</v>
      </c>
      <c r="CN18" s="16">
        <v>905908717.5452795</v>
      </c>
      <c r="CO18" s="16">
        <f t="shared" si="20"/>
        <v>787930781.11214364</v>
      </c>
      <c r="CP18" s="130">
        <v>31.64</v>
      </c>
      <c r="CQ18" s="131">
        <f t="shared" si="192"/>
        <v>29.957441349751825</v>
      </c>
      <c r="CR18" s="5">
        <v>34.840000000000003</v>
      </c>
      <c r="CS18" s="132">
        <v>40.33</v>
      </c>
      <c r="CT18" s="5">
        <f t="shared" si="21"/>
        <v>36.026766570055955</v>
      </c>
      <c r="CU18" s="5">
        <v>32.97</v>
      </c>
      <c r="CV18" s="5">
        <v>44.2</v>
      </c>
      <c r="CW18" s="133"/>
      <c r="CX18" s="134">
        <v>34.69</v>
      </c>
      <c r="CY18" s="5">
        <f t="shared" si="193"/>
        <v>33.782849755282761</v>
      </c>
      <c r="CZ18" s="5">
        <f t="shared" si="170"/>
        <v>36.481208062440054</v>
      </c>
      <c r="DA18" s="5">
        <f t="shared" si="194"/>
        <v>36.10144571911701</v>
      </c>
      <c r="DB18" s="117">
        <f t="shared" si="171"/>
        <v>1897.0228192468828</v>
      </c>
      <c r="DC18" s="135">
        <f t="shared" si="171"/>
        <v>1877.2751773940845</v>
      </c>
      <c r="DD18" s="5">
        <f t="shared" si="22"/>
        <v>1873.3918616429096</v>
      </c>
      <c r="DE18" s="131">
        <f t="shared" si="23"/>
        <v>387763961.91189986</v>
      </c>
      <c r="DF18" s="5">
        <f t="shared" si="24"/>
        <v>311882758.6402747</v>
      </c>
      <c r="DG18" s="131">
        <f t="shared" si="25"/>
        <v>522675672.61600643</v>
      </c>
      <c r="DH18" s="5">
        <f t="shared" si="26"/>
        <v>99566179.217103183</v>
      </c>
      <c r="DI18" s="7">
        <f t="shared" si="195"/>
        <v>919983104.91861331</v>
      </c>
      <c r="DJ18" s="136">
        <f t="shared" si="172"/>
        <v>1308868559.0079846</v>
      </c>
      <c r="DK18" s="16">
        <f t="shared" si="27"/>
        <v>411448937.85737789</v>
      </c>
      <c r="DL18" s="7">
        <f t="shared" si="196"/>
        <v>47839121455.767891</v>
      </c>
      <c r="DM18" s="136">
        <f t="shared" si="196"/>
        <v>68061165068.415199</v>
      </c>
      <c r="DN18" s="16">
        <f t="shared" si="173"/>
        <v>21395344768.583649</v>
      </c>
      <c r="DO18" s="117">
        <f t="shared" si="197"/>
        <v>1897.0228192468828</v>
      </c>
      <c r="DP18" s="135">
        <f t="shared" si="198"/>
        <v>1877.2751773940845</v>
      </c>
      <c r="DQ18" s="5">
        <f t="shared" si="28"/>
        <v>1873.3918616429094</v>
      </c>
      <c r="DR18" s="117">
        <f t="shared" si="29"/>
        <v>28.026569749957886</v>
      </c>
      <c r="DS18" s="135">
        <f t="shared" si="199"/>
        <v>19.699434661587777</v>
      </c>
      <c r="DT18" s="5">
        <f t="shared" si="30"/>
        <v>62.666271039741844</v>
      </c>
      <c r="DU18" s="137">
        <f t="shared" si="31"/>
        <v>24.666414227423786</v>
      </c>
      <c r="DV18" s="138">
        <f t="shared" si="32"/>
        <v>45.800311101151941</v>
      </c>
      <c r="DW18" s="130">
        <f t="shared" si="33"/>
        <v>57.885916260706139</v>
      </c>
      <c r="DX18" s="137">
        <v>25.315027564981985</v>
      </c>
      <c r="DY18" s="138">
        <v>58.028948574603398</v>
      </c>
      <c r="DZ18" s="137">
        <f t="shared" si="34"/>
        <v>28.02656974995789</v>
      </c>
      <c r="EA18" s="138">
        <v>42.223325641872002</v>
      </c>
      <c r="EB18" s="130">
        <v>53.549127360914703</v>
      </c>
      <c r="EC18" s="139">
        <f t="shared" si="35"/>
        <v>0.57167648603029952</v>
      </c>
      <c r="ED18" s="140">
        <f t="shared" si="36"/>
        <v>3.7020194911932691</v>
      </c>
      <c r="EE18" s="139">
        <f t="shared" si="37"/>
        <v>0.57167648603029964</v>
      </c>
      <c r="EF18" s="141">
        <f t="shared" si="38"/>
        <v>3.3433365669836883</v>
      </c>
      <c r="EG18" s="142">
        <f t="shared" si="39"/>
        <v>2.4365209853281073</v>
      </c>
      <c r="EH18" s="117">
        <f t="shared" si="40"/>
        <v>23.211652262218006</v>
      </c>
      <c r="EI18" s="117">
        <f t="shared" si="41"/>
        <v>13.269555800222047</v>
      </c>
      <c r="EJ18" s="135">
        <f t="shared" si="42"/>
        <v>8.3119153126529035</v>
      </c>
      <c r="EK18" s="135">
        <f t="shared" si="43"/>
        <v>27.789530406464106</v>
      </c>
      <c r="EL18" s="143">
        <f t="shared" si="44"/>
        <v>10.483499656736781</v>
      </c>
      <c r="EM18" s="143">
        <f t="shared" si="45"/>
        <v>25.543266913319172</v>
      </c>
      <c r="EN18" s="144">
        <f t="shared" si="46"/>
        <v>23.796245812943326</v>
      </c>
      <c r="EO18" s="145">
        <f t="shared" si="47"/>
        <v>13.603754187056673</v>
      </c>
      <c r="EP18" s="146">
        <f t="shared" si="48"/>
        <v>10.483499656736781</v>
      </c>
      <c r="EQ18" s="134">
        <f t="shared" si="49"/>
        <v>25.543266913319172</v>
      </c>
      <c r="ER18" s="130">
        <f t="shared" si="50"/>
        <v>8.294721354066148</v>
      </c>
      <c r="ES18" s="130">
        <f t="shared" si="51"/>
        <v>27.732045215989807</v>
      </c>
      <c r="ET18" s="117">
        <f t="shared" si="200"/>
        <v>11.961208062440054</v>
      </c>
      <c r="EU18" s="135">
        <f t="shared" si="201"/>
        <v>26.611445719117008</v>
      </c>
      <c r="EV18" s="5">
        <f t="shared" si="52"/>
        <v>24.416766570055955</v>
      </c>
      <c r="EW18" s="145">
        <f t="shared" si="53"/>
        <v>12.939999999999998</v>
      </c>
      <c r="EX18" s="134">
        <f t="shared" si="54"/>
        <v>24.360766570055954</v>
      </c>
      <c r="EY18" s="130">
        <f t="shared" si="55"/>
        <v>26.556766570055956</v>
      </c>
      <c r="EZ18" s="117">
        <f t="shared" si="202"/>
        <v>48.78143581745536</v>
      </c>
      <c r="FA18" s="135">
        <f t="shared" si="203"/>
        <v>280.4156556282087</v>
      </c>
      <c r="FB18" s="5">
        <f t="shared" si="174"/>
        <v>210.30806692554654</v>
      </c>
      <c r="FC18" s="145">
        <f t="shared" si="56"/>
        <v>52.902698282910862</v>
      </c>
      <c r="FD18" s="134">
        <f t="shared" si="57"/>
        <v>208.81850308637024</v>
      </c>
      <c r="FE18" s="130">
        <f t="shared" si="58"/>
        <v>280.43048120439232</v>
      </c>
      <c r="FF18" s="117">
        <f t="shared" si="59"/>
        <v>15.694333055605854</v>
      </c>
      <c r="FG18" s="135">
        <f t="shared" si="175"/>
        <v>18.019859819473517</v>
      </c>
      <c r="FH18" s="5">
        <f t="shared" si="60"/>
        <v>13.327522601110809</v>
      </c>
      <c r="FI18" s="145">
        <f t="shared" si="61"/>
        <v>15.694333055605854</v>
      </c>
      <c r="FJ18" s="134">
        <f t="shared" si="62"/>
        <v>13.327522601110809</v>
      </c>
      <c r="FK18" s="145">
        <f t="shared" si="63"/>
        <v>17.832276552502663</v>
      </c>
      <c r="FL18" s="134">
        <f t="shared" si="64"/>
        <v>13.327522601110809</v>
      </c>
      <c r="FM18" s="130">
        <v>12.489641717850812</v>
      </c>
      <c r="FN18" s="111">
        <v>75.5</v>
      </c>
      <c r="FO18" s="147">
        <f t="shared" si="65"/>
        <v>2.6938723030888734</v>
      </c>
      <c r="FP18" s="148">
        <f t="shared" si="66"/>
        <v>3.8325972951507379</v>
      </c>
      <c r="FQ18" s="149">
        <f t="shared" si="67"/>
        <v>1.2047948401480477</v>
      </c>
      <c r="FR18" s="150">
        <f t="shared" si="68"/>
        <v>3.5680427855481769E-2</v>
      </c>
      <c r="FS18" s="151">
        <f t="shared" si="68"/>
        <v>5.0762878081466727E-2</v>
      </c>
      <c r="FT18" s="122">
        <f t="shared" si="68"/>
        <v>1.5957547551629769E-2</v>
      </c>
      <c r="FU18" s="152">
        <f t="shared" si="69"/>
        <v>1.3344480017950178</v>
      </c>
      <c r="FV18" s="140">
        <f t="shared" si="70"/>
        <v>0.78660528070408309</v>
      </c>
      <c r="FW18" s="153">
        <f t="shared" si="71"/>
        <v>0.62237533578632298</v>
      </c>
      <c r="FX18" s="152">
        <f t="shared" si="72"/>
        <v>1.7854965641521388</v>
      </c>
      <c r="FY18" s="140">
        <f t="shared" si="73"/>
        <v>0.57489884067313368</v>
      </c>
      <c r="FZ18" s="140">
        <f t="shared" si="176"/>
        <v>40.90347459661232</v>
      </c>
      <c r="GA18" s="153">
        <f t="shared" si="176"/>
        <v>32.363517460888794</v>
      </c>
      <c r="GB18" s="152">
        <f t="shared" si="74"/>
        <v>4.054095543762553E-2</v>
      </c>
      <c r="GC18" s="154">
        <f t="shared" si="75"/>
        <v>1.5957547551629769E-2</v>
      </c>
      <c r="GD18" s="152">
        <f t="shared" si="76"/>
        <v>3.5680427855481756E-2</v>
      </c>
      <c r="GE18" s="154">
        <f t="shared" si="77"/>
        <v>2.1833912826300622E-2</v>
      </c>
      <c r="GF18" s="155">
        <f t="shared" si="78"/>
        <v>1.8434295098031277E-2</v>
      </c>
      <c r="GG18" s="152">
        <f t="shared" si="79"/>
        <v>328.74219310435171</v>
      </c>
      <c r="GH18" s="134">
        <f t="shared" si="80"/>
        <v>36.026766570055955</v>
      </c>
      <c r="GI18" s="130">
        <f t="shared" si="81"/>
        <v>36.026766570055955</v>
      </c>
      <c r="GJ18" s="152">
        <f t="shared" si="82"/>
        <v>1.0262954044141965</v>
      </c>
      <c r="GK18" s="154">
        <f t="shared" si="82"/>
        <v>0.92599970625031225</v>
      </c>
      <c r="GL18" s="152">
        <f t="shared" si="82"/>
        <v>0.99999999999999989</v>
      </c>
      <c r="GM18" s="154">
        <f t="shared" si="82"/>
        <v>0.92190041130113709</v>
      </c>
      <c r="GN18" s="154">
        <f t="shared" si="82"/>
        <v>0.98714041601316249</v>
      </c>
      <c r="GO18" s="112">
        <f t="shared" si="177"/>
        <v>0.55998051833044737</v>
      </c>
      <c r="GP18" s="156">
        <f t="shared" si="177"/>
        <v>0.9147399470610551</v>
      </c>
      <c r="GQ18" s="115">
        <f t="shared" si="177"/>
        <v>0.21267457565264622</v>
      </c>
      <c r="GR18" s="117">
        <f t="shared" si="204"/>
        <v>403.44852308671739</v>
      </c>
      <c r="GS18" s="135">
        <f t="shared" si="178"/>
        <v>1717.2185963884976</v>
      </c>
      <c r="GT18" s="5">
        <f t="shared" si="178"/>
        <v>398.42281920602665</v>
      </c>
      <c r="GU18" s="130">
        <f t="shared" si="83"/>
        <v>431.32551041143967</v>
      </c>
      <c r="GV18" s="145">
        <f t="shared" si="84"/>
        <v>1062.2958216065558</v>
      </c>
      <c r="GW18" s="134">
        <f t="shared" si="85"/>
        <v>430.2623602542771</v>
      </c>
      <c r="GX18" s="157">
        <f t="shared" si="179"/>
        <v>0.6362632570305703</v>
      </c>
      <c r="GY18" s="154">
        <f t="shared" si="86"/>
        <v>0.21267457565264619</v>
      </c>
      <c r="GZ18" s="157">
        <f t="shared" si="86"/>
        <v>0.63626325703057018</v>
      </c>
      <c r="HA18" s="154">
        <f t="shared" si="86"/>
        <v>0.2909919666632047</v>
      </c>
      <c r="HB18" s="155">
        <f t="shared" si="86"/>
        <v>0.23023774109554418</v>
      </c>
      <c r="HC18" s="157">
        <f t="shared" si="87"/>
        <v>0.61996112843723161</v>
      </c>
      <c r="HD18" s="154">
        <f t="shared" si="88"/>
        <v>0.22967024094838853</v>
      </c>
      <c r="HE18" s="144">
        <v>75.5</v>
      </c>
      <c r="HF18" s="146"/>
      <c r="HG18" s="158">
        <f t="shared" si="89"/>
        <v>128.89525236752536</v>
      </c>
      <c r="HH18" s="2">
        <f t="shared" si="90"/>
        <v>94.896370655020462</v>
      </c>
      <c r="HI18" s="2">
        <f t="shared" si="91"/>
        <v>97.284133432712949</v>
      </c>
      <c r="HJ18" s="2">
        <f t="shared" si="92"/>
        <v>98.162729658792642</v>
      </c>
      <c r="HK18" s="2">
        <f t="shared" si="93"/>
        <v>135.43566311994095</v>
      </c>
      <c r="HL18" s="2">
        <f t="shared" si="180"/>
        <v>99.106426328749265</v>
      </c>
      <c r="HM18" s="2">
        <f t="shared" si="94"/>
        <v>146.26591850518039</v>
      </c>
      <c r="HN18" s="2">
        <f t="shared" si="95"/>
        <v>102.52263876729246</v>
      </c>
      <c r="HO18" s="2">
        <f t="shared" si="181"/>
        <v>87.692141220235001</v>
      </c>
      <c r="HP18" s="2">
        <f t="shared" si="96"/>
        <v>84.503036578590084</v>
      </c>
      <c r="HQ18" s="2">
        <f t="shared" si="182"/>
        <v>87.345033099362254</v>
      </c>
      <c r="HR18" s="159">
        <f t="shared" si="97"/>
        <v>130.10975016727221</v>
      </c>
      <c r="HS18" s="12">
        <f t="shared" si="98"/>
        <v>122.32788397592509</v>
      </c>
      <c r="HT18" s="12">
        <f t="shared" si="99"/>
        <v>88.26284351527012</v>
      </c>
      <c r="HU18" s="12">
        <f t="shared" si="100"/>
        <v>96.04576531606493</v>
      </c>
      <c r="HV18" s="12">
        <f t="shared" si="101"/>
        <v>125.68424829600886</v>
      </c>
      <c r="HW18" s="12">
        <f t="shared" si="183"/>
        <v>93.114963070335463</v>
      </c>
      <c r="HX18" s="12">
        <f t="shared" si="102"/>
        <v>130.91868959833801</v>
      </c>
      <c r="HY18" s="12">
        <f t="shared" si="103"/>
        <v>109.55767258330036</v>
      </c>
      <c r="HZ18" s="12">
        <f t="shared" si="104"/>
        <v>84.370306047187128</v>
      </c>
      <c r="IA18" s="12">
        <f t="shared" si="105"/>
        <v>85.836053017102287</v>
      </c>
      <c r="IB18" s="12">
        <f t="shared" si="184"/>
        <v>92.599970625031219</v>
      </c>
      <c r="IC18" s="158">
        <f t="shared" si="106"/>
        <v>142.70147530528456</v>
      </c>
      <c r="ID18" s="2">
        <f t="shared" si="107"/>
        <v>97.282391614992548</v>
      </c>
      <c r="IE18" s="2">
        <f t="shared" si="108"/>
        <v>99.734268233553308</v>
      </c>
      <c r="IF18" s="2">
        <f t="shared" si="109"/>
        <v>98.162729658792642</v>
      </c>
      <c r="IG18" s="2">
        <f t="shared" si="110"/>
        <v>140.05592139834204</v>
      </c>
      <c r="IH18" s="2">
        <f t="shared" si="185"/>
        <v>99.106426328749251</v>
      </c>
      <c r="II18" s="2">
        <f t="shared" si="111"/>
        <v>141.4137712331694</v>
      </c>
      <c r="IJ18" s="2">
        <f t="shared" si="112"/>
        <v>102.52263876729248</v>
      </c>
      <c r="IK18" s="2">
        <f t="shared" si="113"/>
        <v>94.868035190615814</v>
      </c>
      <c r="IL18" s="2">
        <f t="shared" si="114"/>
        <v>70.071539386256404</v>
      </c>
      <c r="IM18" s="2">
        <f t="shared" si="186"/>
        <v>99.999999999999986</v>
      </c>
      <c r="IN18" s="159">
        <f t="shared" si="115"/>
        <v>128.92618516602138</v>
      </c>
      <c r="IO18" s="12">
        <f t="shared" si="116"/>
        <v>89.863703555089842</v>
      </c>
      <c r="IP18" s="12">
        <f t="shared" si="117"/>
        <v>98.85165214132806</v>
      </c>
      <c r="IQ18" s="12">
        <f t="shared" si="118"/>
        <v>96.04576531606493</v>
      </c>
      <c r="IR18" s="12">
        <f t="shared" si="119"/>
        <v>125.68424829600886</v>
      </c>
      <c r="IS18" s="12">
        <f t="shared" si="187"/>
        <v>93.566548766303754</v>
      </c>
      <c r="IT18" s="12">
        <f t="shared" si="120"/>
        <v>130.91868959833801</v>
      </c>
      <c r="IU18" s="12">
        <f t="shared" si="121"/>
        <v>109.99399520247512</v>
      </c>
      <c r="IV18" s="12">
        <f t="shared" si="122"/>
        <v>94.275412422817169</v>
      </c>
      <c r="IW18" s="12">
        <f t="shared" si="123"/>
        <v>71.586599430493848</v>
      </c>
      <c r="IX18" s="12">
        <f t="shared" si="188"/>
        <v>92.190041130113713</v>
      </c>
      <c r="IY18" s="160">
        <f t="shared" si="124"/>
        <v>132.7444902352868</v>
      </c>
      <c r="IZ18" s="25">
        <f t="shared" si="125"/>
        <v>87.589454636390158</v>
      </c>
      <c r="JA18" s="25">
        <f t="shared" si="126"/>
        <v>98.901730442189034</v>
      </c>
      <c r="JB18" s="25">
        <f t="shared" si="127"/>
        <v>96.04576531606493</v>
      </c>
      <c r="JC18" s="25">
        <f t="shared" si="128"/>
        <v>125.68424829600886</v>
      </c>
      <c r="JD18" s="25">
        <f t="shared" si="189"/>
        <v>91.183263800215514</v>
      </c>
      <c r="JE18" s="25">
        <f t="shared" si="129"/>
        <v>122.68803259185475</v>
      </c>
      <c r="JF18" s="25">
        <f t="shared" si="130"/>
        <v>112.93606114700438</v>
      </c>
      <c r="JG18" s="25">
        <f t="shared" si="131"/>
        <v>94.710294472382159</v>
      </c>
      <c r="JH18" s="25">
        <f t="shared" si="132"/>
        <v>74.331835072706767</v>
      </c>
      <c r="JI18" s="25">
        <f t="shared" si="190"/>
        <v>98.714041601316254</v>
      </c>
    </row>
    <row r="19" spans="1:269" x14ac:dyDescent="0.35">
      <c r="A19" s="109">
        <v>2004</v>
      </c>
      <c r="B19" s="110">
        <v>655356000000</v>
      </c>
      <c r="C19" s="111">
        <v>75.099999999999994</v>
      </c>
      <c r="D19" s="112">
        <f t="shared" si="133"/>
        <v>0.75099999999999989</v>
      </c>
      <c r="E19" s="111">
        <f t="shared" si="134"/>
        <v>8726444740.3462067</v>
      </c>
      <c r="F19" s="113">
        <f t="shared" si="135"/>
        <v>872644474034.62061</v>
      </c>
      <c r="G19" s="114">
        <v>35896000000</v>
      </c>
      <c r="H19" s="110">
        <v>8178000000</v>
      </c>
      <c r="I19" s="110">
        <v>237341000000</v>
      </c>
      <c r="J19" s="110">
        <v>80403000000</v>
      </c>
      <c r="K19" s="112">
        <v>72.7</v>
      </c>
      <c r="L19" s="112">
        <f t="shared" si="136"/>
        <v>0.72699999999999998</v>
      </c>
      <c r="M19" s="112">
        <f t="shared" si="137"/>
        <v>493755158.18431908</v>
      </c>
      <c r="N19" s="112">
        <f t="shared" si="138"/>
        <v>3264662998.6244841</v>
      </c>
      <c r="O19" s="112">
        <f t="shared" si="139"/>
        <v>3264662998.6244841</v>
      </c>
      <c r="P19" s="112">
        <f t="shared" si="140"/>
        <v>49375515818.431915</v>
      </c>
      <c r="Q19" s="112">
        <f t="shared" si="141"/>
        <v>11248968363.136177</v>
      </c>
      <c r="R19" s="112">
        <f t="shared" si="142"/>
        <v>326466299862.44843</v>
      </c>
      <c r="S19" s="115">
        <f t="shared" si="143"/>
        <v>387090784044.01654</v>
      </c>
      <c r="T19" s="112">
        <f t="shared" si="144"/>
        <v>1105955983.4938102</v>
      </c>
      <c r="U19" s="115">
        <f t="shared" si="145"/>
        <v>110595598349.38103</v>
      </c>
      <c r="V19" s="116">
        <f t="shared" si="146"/>
        <v>1370330856428.0183</v>
      </c>
      <c r="W19" s="117">
        <f t="shared" si="147"/>
        <v>1017174000000</v>
      </c>
      <c r="X19" s="112">
        <v>69.439099999999996</v>
      </c>
      <c r="Y19" s="112">
        <f t="shared" si="148"/>
        <v>0.69439099999999998</v>
      </c>
      <c r="Z19" s="112">
        <f t="shared" si="149"/>
        <v>1464843294339.9324</v>
      </c>
      <c r="AA19" s="115">
        <v>0.254</v>
      </c>
      <c r="AB19" s="115">
        <v>0.317</v>
      </c>
      <c r="AC19" s="115">
        <f t="shared" si="150"/>
        <v>0.57099999999999995</v>
      </c>
      <c r="AD19" s="118">
        <v>0.3085596642526427</v>
      </c>
      <c r="AE19" s="115">
        <f t="shared" si="151"/>
        <v>0.87955966425264265</v>
      </c>
      <c r="AF19" s="115">
        <f t="shared" si="152"/>
        <v>0.12044033574735735</v>
      </c>
      <c r="AG19" s="119">
        <v>0.24749195179130595</v>
      </c>
      <c r="AH19" s="119">
        <v>0.3150826368393056</v>
      </c>
      <c r="AI19" s="119">
        <f t="shared" si="153"/>
        <v>0.56257458863061149</v>
      </c>
      <c r="AJ19" s="16">
        <v>2902000</v>
      </c>
      <c r="AK19" s="120">
        <v>22463000</v>
      </c>
      <c r="AL19" s="121">
        <f t="shared" si="154"/>
        <v>25365000</v>
      </c>
      <c r="AM19" s="122">
        <v>0.17186029999999997</v>
      </c>
      <c r="AN19" s="123">
        <f t="shared" si="191"/>
        <v>3860497.9188999995</v>
      </c>
      <c r="AO19" s="124">
        <v>0.82719424460431656</v>
      </c>
      <c r="AP19" s="123">
        <f t="shared" si="155"/>
        <v>18581264.316546764</v>
      </c>
      <c r="AQ19" s="125">
        <v>0.48015259999999998</v>
      </c>
      <c r="AR19" s="123">
        <f t="shared" si="156"/>
        <v>8921842.3728771508</v>
      </c>
      <c r="AS19" s="123">
        <f t="shared" si="157"/>
        <v>9659421.9436696116</v>
      </c>
      <c r="AT19" s="115">
        <f t="shared" si="0"/>
        <v>477.76372244901142</v>
      </c>
      <c r="AU19" s="126">
        <v>0.66451610000000005</v>
      </c>
      <c r="AV19" s="123">
        <f t="shared" si="1"/>
        <v>2565363.0211255443</v>
      </c>
      <c r="AW19" s="123">
        <f t="shared" si="158"/>
        <v>1295134.8977744554</v>
      </c>
      <c r="AX19" s="127">
        <f t="shared" si="159"/>
        <v>11487205.394002695</v>
      </c>
      <c r="AY19" s="127">
        <f t="shared" si="159"/>
        <v>10954556.841444068</v>
      </c>
      <c r="AZ19" s="16">
        <f t="shared" si="2"/>
        <v>63733144093.111069</v>
      </c>
      <c r="BA19" s="16">
        <f t="shared" si="3"/>
        <v>46862454256.269958</v>
      </c>
      <c r="BB19" s="16">
        <f t="shared" si="4"/>
        <v>221651696404.79364</v>
      </c>
      <c r="BC19" s="16">
        <f t="shared" si="5"/>
        <v>276628298268.97473</v>
      </c>
      <c r="BD19" s="17">
        <f t="shared" si="6"/>
        <v>269262885920.04651</v>
      </c>
      <c r="BE19" s="16">
        <f t="shared" si="160"/>
        <v>767542880593.81494</v>
      </c>
      <c r="BF19" s="117">
        <v>872644474034.62061</v>
      </c>
      <c r="BG19" s="116">
        <f t="shared" si="161"/>
        <v>0.87955966425264276</v>
      </c>
      <c r="BH19" s="115">
        <v>0.87955966425264265</v>
      </c>
      <c r="BI19" s="17">
        <v>44750995.326457806</v>
      </c>
      <c r="BJ19" s="7">
        <f t="shared" si="162"/>
        <v>767542880593.81482</v>
      </c>
      <c r="BK19" s="16">
        <f t="shared" si="163"/>
        <v>285384840497.90472</v>
      </c>
      <c r="BL19" s="112">
        <f t="shared" si="7"/>
        <v>34403.48803605837</v>
      </c>
      <c r="BM19" s="112">
        <f t="shared" si="8"/>
        <v>30259.920386115311</v>
      </c>
      <c r="BN19" s="115">
        <f t="shared" si="9"/>
        <v>24843.713567348597</v>
      </c>
      <c r="BO19" s="112">
        <f t="shared" si="164"/>
        <v>661.60553915496871</v>
      </c>
      <c r="BP19" s="112">
        <f t="shared" si="164"/>
        <v>581.92154588683286</v>
      </c>
      <c r="BQ19" s="115">
        <f t="shared" si="164"/>
        <v>477.76372244901148</v>
      </c>
      <c r="BR19" s="112">
        <f t="shared" si="10"/>
        <v>497686382393.39771</v>
      </c>
      <c r="BS19" s="115">
        <f t="shared" si="11"/>
        <v>1084946015930.1135</v>
      </c>
      <c r="BT19" s="112">
        <f t="shared" si="12"/>
        <v>497686382393.39758</v>
      </c>
      <c r="BU19" s="115">
        <f t="shared" si="13"/>
        <v>710581536569.26123</v>
      </c>
      <c r="BV19" s="118">
        <f t="shared" si="14"/>
        <v>979844422489.30774</v>
      </c>
      <c r="BW19" s="112">
        <f t="shared" si="15"/>
        <v>54024.476894461593</v>
      </c>
      <c r="BX19" s="115">
        <f t="shared" si="16"/>
        <v>119291.92605395986</v>
      </c>
      <c r="BY19" s="128">
        <f t="shared" si="17"/>
        <v>1242632102208.5625</v>
      </c>
      <c r="BZ19" s="119">
        <f t="shared" si="18"/>
        <v>1268051120295.4849</v>
      </c>
      <c r="CA19" s="113">
        <v>37.299999999999997</v>
      </c>
      <c r="CB19" s="113">
        <v>15.6</v>
      </c>
      <c r="CC19" s="113">
        <v>9.1999999999999993</v>
      </c>
      <c r="CD19" s="113">
        <v>18273239.519781083</v>
      </c>
      <c r="CE19" s="113">
        <v>6378416.2658066936</v>
      </c>
      <c r="CF19" s="113">
        <v>1079282.3749000386</v>
      </c>
      <c r="CG19" s="113">
        <f t="shared" si="165"/>
        <v>25730938.160487816</v>
      </c>
      <c r="CH19" s="113">
        <v>25365000</v>
      </c>
      <c r="CI19" s="113">
        <f t="shared" si="166"/>
        <v>-365938.16048781574</v>
      </c>
      <c r="CJ19" s="122">
        <f t="shared" si="167"/>
        <v>0.71016608122906677</v>
      </c>
      <c r="CK19" s="122">
        <f t="shared" si="168"/>
        <v>0.24788898974547804</v>
      </c>
      <c r="CL19" s="122">
        <f t="shared" si="169"/>
        <v>4.1944929025455213E-2</v>
      </c>
      <c r="CM19" s="129">
        <f t="shared" si="19"/>
        <v>30.742156416907832</v>
      </c>
      <c r="CN19" s="16">
        <v>912274908.91055584</v>
      </c>
      <c r="CO19" s="16">
        <f t="shared" si="20"/>
        <v>791024525.6834991</v>
      </c>
      <c r="CP19" s="130">
        <v>31.39</v>
      </c>
      <c r="CQ19" s="131">
        <f t="shared" si="192"/>
        <v>30.094312833815664</v>
      </c>
      <c r="CR19" s="5">
        <v>34.69</v>
      </c>
      <c r="CS19" s="132">
        <v>41.12</v>
      </c>
      <c r="CT19" s="5">
        <f t="shared" si="21"/>
        <v>36.125970165071585</v>
      </c>
      <c r="CU19" s="5">
        <v>32.64</v>
      </c>
      <c r="CV19" s="5">
        <v>43.59</v>
      </c>
      <c r="CW19" s="133"/>
      <c r="CX19" s="134">
        <v>34.630000000000003</v>
      </c>
      <c r="CY19" s="5">
        <f t="shared" si="193"/>
        <v>33.401677468031828</v>
      </c>
      <c r="CZ19" s="5">
        <f t="shared" si="170"/>
        <v>36.551363402147203</v>
      </c>
      <c r="DA19" s="5">
        <f t="shared" si="194"/>
        <v>36.138719594556484</v>
      </c>
      <c r="DB19" s="117">
        <f t="shared" si="171"/>
        <v>1900.6708969116546</v>
      </c>
      <c r="DC19" s="135">
        <f t="shared" si="171"/>
        <v>1879.2134189169371</v>
      </c>
      <c r="DD19" s="5">
        <f t="shared" si="22"/>
        <v>1878.5504485837225</v>
      </c>
      <c r="DE19" s="131">
        <f t="shared" si="23"/>
        <v>389642715.09675044</v>
      </c>
      <c r="DF19" s="5">
        <f t="shared" si="24"/>
        <v>309498711.91510832</v>
      </c>
      <c r="DG19" s="131">
        <f t="shared" si="25"/>
        <v>539253265.37751496</v>
      </c>
      <c r="DH19" s="5">
        <f t="shared" si="26"/>
        <v>105487727.42868237</v>
      </c>
      <c r="DI19" s="7">
        <f t="shared" si="195"/>
        <v>927125332.69546378</v>
      </c>
      <c r="DJ19" s="136">
        <f t="shared" si="172"/>
        <v>1311774774.873498</v>
      </c>
      <c r="DK19" s="16">
        <f t="shared" si="27"/>
        <v>414986439.34379071</v>
      </c>
      <c r="DL19" s="7">
        <f t="shared" si="196"/>
        <v>48210517300.164116</v>
      </c>
      <c r="DM19" s="136">
        <f t="shared" si="196"/>
        <v>68212288293.42189</v>
      </c>
      <c r="DN19" s="16">
        <f t="shared" si="173"/>
        <v>21579294845.877117</v>
      </c>
      <c r="DO19" s="117">
        <f t="shared" si="197"/>
        <v>1900.6708969116544</v>
      </c>
      <c r="DP19" s="135">
        <f t="shared" si="198"/>
        <v>1879.2134189169371</v>
      </c>
      <c r="DQ19" s="5">
        <f t="shared" si="28"/>
        <v>1878.5504485837223</v>
      </c>
      <c r="DR19" s="117">
        <f t="shared" si="29"/>
        <v>28.423898625608679</v>
      </c>
      <c r="DS19" s="135">
        <f t="shared" si="199"/>
        <v>20.08920812821005</v>
      </c>
      <c r="DT19" s="5">
        <f t="shared" si="30"/>
        <v>63.502114699073687</v>
      </c>
      <c r="DU19" s="137">
        <f t="shared" si="31"/>
        <v>25.000514731891517</v>
      </c>
      <c r="DV19" s="138">
        <f t="shared" si="32"/>
        <v>46.153796228306909</v>
      </c>
      <c r="DW19" s="130">
        <f t="shared" si="33"/>
        <v>58.631631479327211</v>
      </c>
      <c r="DX19" s="137">
        <v>25.775124844062447</v>
      </c>
      <c r="DY19" s="138">
        <v>58.762398370851088</v>
      </c>
      <c r="DZ19" s="137">
        <f t="shared" si="34"/>
        <v>28.423898625608679</v>
      </c>
      <c r="EA19" s="138">
        <v>42.606858404360388</v>
      </c>
      <c r="EB19" s="130">
        <v>54.226783784035263</v>
      </c>
      <c r="EC19" s="139">
        <f t="shared" si="35"/>
        <v>0.57031975472482377</v>
      </c>
      <c r="ED19" s="140">
        <f t="shared" si="36"/>
        <v>3.8016946311416957</v>
      </c>
      <c r="EE19" s="139">
        <f t="shared" si="37"/>
        <v>0.57031975472482366</v>
      </c>
      <c r="EF19" s="141">
        <f t="shared" si="38"/>
        <v>3.4334144055437368</v>
      </c>
      <c r="EG19" s="142">
        <f t="shared" si="39"/>
        <v>2.4899063851097525</v>
      </c>
      <c r="EH19" s="117">
        <f t="shared" si="40"/>
        <v>23.276382591615754</v>
      </c>
      <c r="EI19" s="117">
        <f t="shared" si="41"/>
        <v>13.274980810531449</v>
      </c>
      <c r="EJ19" s="135">
        <f t="shared" si="42"/>
        <v>8.1514418208609243</v>
      </c>
      <c r="EK19" s="135">
        <f t="shared" si="43"/>
        <v>27.98727777369556</v>
      </c>
      <c r="EL19" s="143">
        <f t="shared" si="44"/>
        <v>10.351558517216638</v>
      </c>
      <c r="EM19" s="143">
        <f t="shared" si="45"/>
        <v>25.774411647854947</v>
      </c>
      <c r="EN19" s="144">
        <f t="shared" si="46"/>
        <v>23.753124093211383</v>
      </c>
      <c r="EO19" s="145">
        <f t="shared" si="47"/>
        <v>13.546875906788614</v>
      </c>
      <c r="EP19" s="146">
        <f t="shared" si="48"/>
        <v>10.351558517216638</v>
      </c>
      <c r="EQ19" s="134">
        <f t="shared" si="49"/>
        <v>25.774411647854947</v>
      </c>
      <c r="ER19" s="130">
        <f t="shared" si="50"/>
        <v>8.1485660622878129</v>
      </c>
      <c r="ES19" s="130">
        <f t="shared" si="51"/>
        <v>27.977404102783773</v>
      </c>
      <c r="ET19" s="117">
        <f t="shared" si="200"/>
        <v>12.031363402147203</v>
      </c>
      <c r="EU19" s="135">
        <f t="shared" si="201"/>
        <v>26.648719594556482</v>
      </c>
      <c r="EV19" s="5">
        <f t="shared" si="52"/>
        <v>24.515970165071586</v>
      </c>
      <c r="EW19" s="145">
        <f t="shared" si="53"/>
        <v>12.839999999999996</v>
      </c>
      <c r="EX19" s="134">
        <f t="shared" si="54"/>
        <v>24.459970165071585</v>
      </c>
      <c r="EY19" s="130">
        <f t="shared" si="55"/>
        <v>26.655970165071587</v>
      </c>
      <c r="EZ19" s="117">
        <f t="shared" si="202"/>
        <v>49.067550579719423</v>
      </c>
      <c r="FA19" s="135">
        <f t="shared" si="203"/>
        <v>280.80842565391447</v>
      </c>
      <c r="FB19" s="5">
        <f t="shared" si="174"/>
        <v>211.16253372154685</v>
      </c>
      <c r="FC19" s="145">
        <f t="shared" si="56"/>
        <v>52.493867538838899</v>
      </c>
      <c r="FD19" s="134">
        <f t="shared" si="57"/>
        <v>209.66886820736826</v>
      </c>
      <c r="FE19" s="130">
        <f t="shared" si="58"/>
        <v>281.47803764595125</v>
      </c>
      <c r="FF19" s="117">
        <f t="shared" si="59"/>
        <v>15.92065224720586</v>
      </c>
      <c r="FG19" s="135">
        <f t="shared" si="175"/>
        <v>18.307387383326809</v>
      </c>
      <c r="FH19" s="5">
        <f t="shared" si="60"/>
        <v>13.224938188952434</v>
      </c>
      <c r="FI19" s="145">
        <f t="shared" si="61"/>
        <v>15.920652247205862</v>
      </c>
      <c r="FJ19" s="134">
        <f t="shared" si="62"/>
        <v>13.224938188952434</v>
      </c>
      <c r="FK19" s="145">
        <f t="shared" si="63"/>
        <v>18.100707540668726</v>
      </c>
      <c r="FL19" s="134">
        <f t="shared" si="64"/>
        <v>13.224938188952434</v>
      </c>
      <c r="FM19" s="130">
        <v>12.315661476126143</v>
      </c>
      <c r="FN19" s="111">
        <v>76.5</v>
      </c>
      <c r="FO19" s="147">
        <f t="shared" si="65"/>
        <v>2.6913971586950733</v>
      </c>
      <c r="FP19" s="148">
        <f t="shared" si="66"/>
        <v>3.8080147067905439</v>
      </c>
      <c r="FQ19" s="149">
        <f t="shared" si="67"/>
        <v>1.2046842906338033</v>
      </c>
      <c r="FR19" s="150">
        <f t="shared" si="68"/>
        <v>3.518166220516436E-2</v>
      </c>
      <c r="FS19" s="151">
        <f t="shared" si="68"/>
        <v>4.9777970023405803E-2</v>
      </c>
      <c r="FT19" s="122">
        <f t="shared" si="68"/>
        <v>1.5747507067108542E-2</v>
      </c>
      <c r="FU19" s="152">
        <f t="shared" si="69"/>
        <v>1.3122760002526304</v>
      </c>
      <c r="FV19" s="140">
        <f t="shared" si="70"/>
        <v>0.78273020027147655</v>
      </c>
      <c r="FW19" s="153">
        <f t="shared" si="71"/>
        <v>0.61615154232590574</v>
      </c>
      <c r="FX19" s="152">
        <f t="shared" si="72"/>
        <v>1.7960858307113872</v>
      </c>
      <c r="FY19" s="140">
        <f t="shared" si="73"/>
        <v>0.56889397048061718</v>
      </c>
      <c r="FZ19" s="140">
        <f t="shared" si="176"/>
        <v>40.701970414116779</v>
      </c>
      <c r="GA19" s="153">
        <f t="shared" si="176"/>
        <v>32.039880200947096</v>
      </c>
      <c r="GB19" s="152">
        <f t="shared" si="74"/>
        <v>3.999917644592995E-2</v>
      </c>
      <c r="GC19" s="154">
        <f t="shared" si="75"/>
        <v>1.5747507067108542E-2</v>
      </c>
      <c r="GD19" s="152">
        <f t="shared" si="76"/>
        <v>3.518166220516436E-2</v>
      </c>
      <c r="GE19" s="154">
        <f t="shared" si="77"/>
        <v>2.1666690103959056E-2</v>
      </c>
      <c r="GF19" s="155">
        <f t="shared" si="78"/>
        <v>1.8314873740874205E-2</v>
      </c>
      <c r="GG19" s="152">
        <f t="shared" si="79"/>
        <v>330.63026202126002</v>
      </c>
      <c r="GH19" s="134">
        <f t="shared" si="80"/>
        <v>36.125970165071585</v>
      </c>
      <c r="GI19" s="130">
        <f t="shared" si="81"/>
        <v>36.125970165071585</v>
      </c>
      <c r="GJ19" s="152">
        <f t="shared" si="82"/>
        <v>1.0309837665535264</v>
      </c>
      <c r="GK19" s="154">
        <f t="shared" si="82"/>
        <v>0.92536128362522496</v>
      </c>
      <c r="GL19" s="152">
        <f t="shared" si="82"/>
        <v>1</v>
      </c>
      <c r="GM19" s="154">
        <f t="shared" si="82"/>
        <v>0.92314959735053992</v>
      </c>
      <c r="GN19" s="154">
        <f t="shared" si="82"/>
        <v>0.99315669837829057</v>
      </c>
      <c r="GO19" s="112">
        <f t="shared" si="177"/>
        <v>0.56011500944708736</v>
      </c>
      <c r="GP19" s="156">
        <f t="shared" si="177"/>
        <v>0.91130458037411943</v>
      </c>
      <c r="GQ19" s="115">
        <f t="shared" si="177"/>
        <v>0.20825980759260207</v>
      </c>
      <c r="GR19" s="117">
        <f t="shared" si="204"/>
        <v>395.83335528767952</v>
      </c>
      <c r="GS19" s="135">
        <f t="shared" si="178"/>
        <v>1712.5357961595137</v>
      </c>
      <c r="GT19" s="5">
        <f t="shared" si="178"/>
        <v>391.22655497504229</v>
      </c>
      <c r="GU19" s="130">
        <f t="shared" si="83"/>
        <v>423.72543523896627</v>
      </c>
      <c r="GV19" s="145">
        <f t="shared" si="84"/>
        <v>1064.5942973794754</v>
      </c>
      <c r="GW19" s="134">
        <f t="shared" si="85"/>
        <v>422.78249792595682</v>
      </c>
      <c r="GX19" s="157">
        <f t="shared" si="179"/>
        <v>0.63681297837027839</v>
      </c>
      <c r="GY19" s="154">
        <f t="shared" si="86"/>
        <v>0.2082598075926021</v>
      </c>
      <c r="GZ19" s="157">
        <f t="shared" si="86"/>
        <v>0.63681297837027839</v>
      </c>
      <c r="HA19" s="154">
        <f t="shared" si="86"/>
        <v>0.28654063738404589</v>
      </c>
      <c r="HB19" s="155">
        <f t="shared" si="86"/>
        <v>0.22555978497059875</v>
      </c>
      <c r="HC19" s="157">
        <f t="shared" si="87"/>
        <v>0.61767507794916998</v>
      </c>
      <c r="HD19" s="154">
        <f t="shared" si="88"/>
        <v>0.22505783554798922</v>
      </c>
      <c r="HE19" s="144">
        <v>76.5</v>
      </c>
      <c r="HF19" s="146"/>
      <c r="HG19" s="158">
        <f t="shared" si="89"/>
        <v>131.23790653799617</v>
      </c>
      <c r="HH19" s="2">
        <f t="shared" si="90"/>
        <v>95.161008142337494</v>
      </c>
      <c r="HI19" s="2">
        <f t="shared" si="91"/>
        <v>97.323906235567804</v>
      </c>
      <c r="HJ19" s="2">
        <f t="shared" si="92"/>
        <v>97.900262467191595</v>
      </c>
      <c r="HK19" s="2">
        <f t="shared" si="93"/>
        <v>137.7387599894351</v>
      </c>
      <c r="HL19" s="2">
        <f t="shared" si="180"/>
        <v>99.192052705650838</v>
      </c>
      <c r="HM19" s="2">
        <f t="shared" si="94"/>
        <v>148.37513743901081</v>
      </c>
      <c r="HN19" s="2">
        <f t="shared" si="95"/>
        <v>102.27932689959358</v>
      </c>
      <c r="HO19" s="2">
        <f t="shared" si="181"/>
        <v>88.206476555331406</v>
      </c>
      <c r="HP19" s="2">
        <f t="shared" si="96"/>
        <v>84.425394733055413</v>
      </c>
      <c r="HQ19" s="2">
        <f t="shared" si="182"/>
        <v>87.744046038989822</v>
      </c>
      <c r="HR19" s="159">
        <f t="shared" si="97"/>
        <v>131.75425643688584</v>
      </c>
      <c r="HS19" s="12">
        <f t="shared" si="98"/>
        <v>120.78831408654187</v>
      </c>
      <c r="HT19" s="12">
        <f t="shared" si="99"/>
        <v>89.061546813596919</v>
      </c>
      <c r="HU19" s="12">
        <f t="shared" si="100"/>
        <v>96.310237710134857</v>
      </c>
      <c r="HV19" s="12">
        <f t="shared" si="101"/>
        <v>125.06025461536807</v>
      </c>
      <c r="HW19" s="12">
        <f t="shared" si="183"/>
        <v>91.182052361034195</v>
      </c>
      <c r="HX19" s="12">
        <f t="shared" si="102"/>
        <v>129.91098417438539</v>
      </c>
      <c r="HY19" s="12">
        <f t="shared" si="103"/>
        <v>112.50746157634654</v>
      </c>
      <c r="HZ19" s="12">
        <f t="shared" si="104"/>
        <v>84.713096631207961</v>
      </c>
      <c r="IA19" s="12">
        <f t="shared" si="105"/>
        <v>85.82817687616155</v>
      </c>
      <c r="IB19" s="12">
        <f t="shared" si="184"/>
        <v>92.53612836252249</v>
      </c>
      <c r="IC19" s="158">
        <f t="shared" si="106"/>
        <v>144.72453475360834</v>
      </c>
      <c r="ID19" s="2">
        <f t="shared" si="107"/>
        <v>97.106103974536552</v>
      </c>
      <c r="IE19" s="2">
        <f t="shared" si="108"/>
        <v>99.317272043904794</v>
      </c>
      <c r="IF19" s="2">
        <f t="shared" si="109"/>
        <v>97.900262467191595</v>
      </c>
      <c r="IG19" s="2">
        <f t="shared" si="110"/>
        <v>142.34880849648363</v>
      </c>
      <c r="IH19" s="2">
        <f t="shared" si="185"/>
        <v>99.192052705650838</v>
      </c>
      <c r="II19" s="2">
        <f t="shared" si="111"/>
        <v>143.54248644463701</v>
      </c>
      <c r="IJ19" s="2">
        <f t="shared" si="112"/>
        <v>102.27932689959356</v>
      </c>
      <c r="IK19" s="2">
        <f t="shared" si="113"/>
        <v>94.134897360703789</v>
      </c>
      <c r="IL19" s="2">
        <f t="shared" si="114"/>
        <v>69.092031039207299</v>
      </c>
      <c r="IM19" s="2">
        <f t="shared" si="186"/>
        <v>100</v>
      </c>
      <c r="IN19" s="159">
        <f t="shared" si="115"/>
        <v>130.09727757056606</v>
      </c>
      <c r="IO19" s="12">
        <f t="shared" si="116"/>
        <v>88.732714874135425</v>
      </c>
      <c r="IP19" s="12">
        <f t="shared" si="117"/>
        <v>99.746175107797782</v>
      </c>
      <c r="IQ19" s="12">
        <f t="shared" si="118"/>
        <v>96.310237710134857</v>
      </c>
      <c r="IR19" s="12">
        <f t="shared" si="119"/>
        <v>125.06025461536807</v>
      </c>
      <c r="IS19" s="12">
        <f t="shared" si="187"/>
        <v>92.135253178149796</v>
      </c>
      <c r="IT19" s="12">
        <f t="shared" si="120"/>
        <v>129.91098417438539</v>
      </c>
      <c r="IU19" s="12">
        <f t="shared" si="121"/>
        <v>112.40401893829521</v>
      </c>
      <c r="IV19" s="12">
        <f t="shared" si="122"/>
        <v>94.659327264208926</v>
      </c>
      <c r="IW19" s="12">
        <f t="shared" si="123"/>
        <v>71.038328209701817</v>
      </c>
      <c r="IX19" s="12">
        <f t="shared" si="188"/>
        <v>92.314959735053989</v>
      </c>
      <c r="IY19" s="160">
        <f t="shared" si="124"/>
        <v>134.42435246414291</v>
      </c>
      <c r="IZ19" s="25">
        <f t="shared" si="125"/>
        <v>86.046104142426742</v>
      </c>
      <c r="JA19" s="25">
        <f t="shared" si="126"/>
        <v>99.776762135462818</v>
      </c>
      <c r="JB19" s="25">
        <f t="shared" si="127"/>
        <v>96.310237710134857</v>
      </c>
      <c r="JC19" s="25">
        <f t="shared" si="128"/>
        <v>125.06025461536807</v>
      </c>
      <c r="JD19" s="25">
        <f t="shared" si="189"/>
        <v>89.330607909148014</v>
      </c>
      <c r="JE19" s="25">
        <f t="shared" si="129"/>
        <v>120.97899288925484</v>
      </c>
      <c r="JF19" s="25">
        <f t="shared" si="130"/>
        <v>115.97884074151754</v>
      </c>
      <c r="JG19" s="25">
        <f t="shared" si="131"/>
        <v>95.064087607245312</v>
      </c>
      <c r="JH19" s="25">
        <f t="shared" si="132"/>
        <v>73.850297342234697</v>
      </c>
      <c r="JI19" s="25">
        <f t="shared" si="190"/>
        <v>99.315669837829063</v>
      </c>
    </row>
    <row r="20" spans="1:269" x14ac:dyDescent="0.35">
      <c r="A20" s="109">
        <v>2005</v>
      </c>
      <c r="B20" s="110">
        <v>691314000000</v>
      </c>
      <c r="C20" s="111">
        <v>77.2</v>
      </c>
      <c r="D20" s="112">
        <f t="shared" si="133"/>
        <v>0.77200000000000002</v>
      </c>
      <c r="E20" s="111">
        <f t="shared" si="134"/>
        <v>8954844559.5854912</v>
      </c>
      <c r="F20" s="113">
        <f t="shared" si="135"/>
        <v>895484455958.54919</v>
      </c>
      <c r="G20" s="114">
        <v>45630000000</v>
      </c>
      <c r="H20" s="110">
        <v>9961000000</v>
      </c>
      <c r="I20" s="110">
        <v>252256000000</v>
      </c>
      <c r="J20" s="110">
        <v>85854000000</v>
      </c>
      <c r="K20" s="112">
        <v>76.099999999999994</v>
      </c>
      <c r="L20" s="112">
        <f t="shared" si="136"/>
        <v>0.7609999999999999</v>
      </c>
      <c r="M20" s="112">
        <f t="shared" si="137"/>
        <v>599605781.86596584</v>
      </c>
      <c r="N20" s="112">
        <f t="shared" si="138"/>
        <v>3314796320.6307492</v>
      </c>
      <c r="O20" s="112">
        <f t="shared" si="139"/>
        <v>3314796320.6307492</v>
      </c>
      <c r="P20" s="112">
        <f t="shared" si="140"/>
        <v>59960578186.596588</v>
      </c>
      <c r="Q20" s="112">
        <f t="shared" si="141"/>
        <v>13089356110.381079</v>
      </c>
      <c r="R20" s="112">
        <f t="shared" si="142"/>
        <v>331479632063.07495</v>
      </c>
      <c r="S20" s="115">
        <f t="shared" si="143"/>
        <v>404529566360.05261</v>
      </c>
      <c r="T20" s="112">
        <f t="shared" si="144"/>
        <v>1128173455.9789751</v>
      </c>
      <c r="U20" s="115">
        <f t="shared" si="145"/>
        <v>112817345597.89752</v>
      </c>
      <c r="V20" s="116">
        <f t="shared" si="146"/>
        <v>1412831367916.4993</v>
      </c>
      <c r="W20" s="117">
        <f t="shared" si="147"/>
        <v>1085015000000</v>
      </c>
      <c r="X20" s="112">
        <v>71.613600000000005</v>
      </c>
      <c r="Y20" s="112">
        <f t="shared" si="148"/>
        <v>0.71613600000000011</v>
      </c>
      <c r="Z20" s="112">
        <f t="shared" si="149"/>
        <v>1515096294558.5752</v>
      </c>
      <c r="AA20" s="115">
        <v>0.246</v>
      </c>
      <c r="AB20" s="115">
        <v>0.316</v>
      </c>
      <c r="AC20" s="115">
        <f t="shared" si="150"/>
        <v>0.56200000000000006</v>
      </c>
      <c r="AD20" s="118">
        <v>0.3243266691475451</v>
      </c>
      <c r="AE20" s="115">
        <f t="shared" si="151"/>
        <v>0.8863266691475451</v>
      </c>
      <c r="AF20" s="115">
        <f t="shared" si="152"/>
        <v>0.1136733308524549</v>
      </c>
      <c r="AG20" s="119">
        <v>0.2411151972963807</v>
      </c>
      <c r="AH20" s="119">
        <v>0.31455333512035955</v>
      </c>
      <c r="AI20" s="119">
        <f t="shared" si="153"/>
        <v>0.5556685324167403</v>
      </c>
      <c r="AJ20" s="16">
        <v>2933000</v>
      </c>
      <c r="AK20" s="120">
        <v>22759000</v>
      </c>
      <c r="AL20" s="121">
        <f t="shared" si="154"/>
        <v>25692000</v>
      </c>
      <c r="AM20" s="122">
        <v>0.17249159999999997</v>
      </c>
      <c r="AN20" s="123">
        <f t="shared" si="191"/>
        <v>3925736.3243999993</v>
      </c>
      <c r="AO20" s="124">
        <v>0.82593250444049737</v>
      </c>
      <c r="AP20" s="123">
        <f t="shared" si="155"/>
        <v>18797397.868561279</v>
      </c>
      <c r="AQ20" s="125">
        <v>0.46568619999999999</v>
      </c>
      <c r="AR20" s="123">
        <f t="shared" si="156"/>
        <v>8753688.7832984012</v>
      </c>
      <c r="AS20" s="123">
        <f t="shared" si="157"/>
        <v>10043709.085262878</v>
      </c>
      <c r="AT20" s="115">
        <f t="shared" si="0"/>
        <v>483.948015031507</v>
      </c>
      <c r="AU20" s="126">
        <v>0.68011250000000001</v>
      </c>
      <c r="AV20" s="123">
        <f t="shared" si="1"/>
        <v>2669942.3459284948</v>
      </c>
      <c r="AW20" s="123">
        <f t="shared" si="158"/>
        <v>1255793.9784715048</v>
      </c>
      <c r="AX20" s="127">
        <f t="shared" si="159"/>
        <v>11423631.129226897</v>
      </c>
      <c r="AY20" s="127">
        <f t="shared" si="159"/>
        <v>11299503.063734382</v>
      </c>
      <c r="AZ20" s="16">
        <f t="shared" si="2"/>
        <v>67189891525.154343</v>
      </c>
      <c r="BA20" s="16">
        <f t="shared" si="3"/>
        <v>45627454072.743179</v>
      </c>
      <c r="BB20" s="16">
        <f t="shared" si="4"/>
        <v>220289176165.8031</v>
      </c>
      <c r="BC20" s="16">
        <f t="shared" si="5"/>
        <v>282973088082.90155</v>
      </c>
      <c r="BD20" s="17">
        <f t="shared" si="6"/>
        <v>290429490874.43781</v>
      </c>
      <c r="BE20" s="16">
        <f t="shared" si="160"/>
        <v>793691755123.14246</v>
      </c>
      <c r="BF20" s="117">
        <v>895484455958.54919</v>
      </c>
      <c r="BG20" s="116">
        <f t="shared" si="161"/>
        <v>0.8863266691475451</v>
      </c>
      <c r="BH20" s="115">
        <v>0.8863266691475451</v>
      </c>
      <c r="BI20" s="17">
        <v>47611905.944396704</v>
      </c>
      <c r="BJ20" s="7">
        <f t="shared" si="162"/>
        <v>793691755123.14246</v>
      </c>
      <c r="BK20" s="16">
        <f t="shared" si="163"/>
        <v>287479067690.95746</v>
      </c>
      <c r="BL20" s="112">
        <f t="shared" si="7"/>
        <v>34854.602831953496</v>
      </c>
      <c r="BM20" s="112">
        <f t="shared" si="8"/>
        <v>30892.564032505936</v>
      </c>
      <c r="BN20" s="115">
        <f t="shared" si="9"/>
        <v>25165.296781638364</v>
      </c>
      <c r="BO20" s="112">
        <f t="shared" si="164"/>
        <v>670.28082369141339</v>
      </c>
      <c r="BP20" s="112">
        <f t="shared" si="164"/>
        <v>594.08776985588338</v>
      </c>
      <c r="BQ20" s="115">
        <f t="shared" si="164"/>
        <v>483.948015031507</v>
      </c>
      <c r="BR20" s="112">
        <f t="shared" si="10"/>
        <v>517346911957.95007</v>
      </c>
      <c r="BS20" s="115">
        <f t="shared" si="11"/>
        <v>1125352300225.5417</v>
      </c>
      <c r="BT20" s="112">
        <f t="shared" si="12"/>
        <v>517346911957.95013</v>
      </c>
      <c r="BU20" s="115">
        <f t="shared" si="13"/>
        <v>733130108515.69727</v>
      </c>
      <c r="BV20" s="118">
        <f t="shared" si="14"/>
        <v>1023559599390.135</v>
      </c>
      <c r="BW20" s="112">
        <f t="shared" si="15"/>
        <v>54991.101039876201</v>
      </c>
      <c r="BX20" s="115">
        <f t="shared" si="16"/>
        <v>123676.20697256475</v>
      </c>
      <c r="BY20" s="128">
        <f t="shared" si="17"/>
        <v>1290698016263.6321</v>
      </c>
      <c r="BZ20" s="119">
        <f t="shared" si="18"/>
        <v>1316139976244.3188</v>
      </c>
      <c r="CA20" s="113">
        <v>37.299999999999997</v>
      </c>
      <c r="CB20" s="113">
        <v>15.7</v>
      </c>
      <c r="CC20" s="113">
        <v>9.5</v>
      </c>
      <c r="CD20" s="113">
        <v>18648697.957720961</v>
      </c>
      <c r="CE20" s="113">
        <v>6340199.187239795</v>
      </c>
      <c r="CF20" s="113">
        <v>1063325.7492149943</v>
      </c>
      <c r="CG20" s="113">
        <f t="shared" si="165"/>
        <v>26052222.894175753</v>
      </c>
      <c r="CH20" s="113">
        <v>25692000</v>
      </c>
      <c r="CI20" s="113">
        <f t="shared" si="166"/>
        <v>-360222.894175753</v>
      </c>
      <c r="CJ20" s="122">
        <f t="shared" si="167"/>
        <v>0.71581983746538858</v>
      </c>
      <c r="CK20" s="122">
        <f t="shared" si="168"/>
        <v>0.24336499856437252</v>
      </c>
      <c r="CL20" s="122">
        <f t="shared" si="169"/>
        <v>4.0815163970238863E-2</v>
      </c>
      <c r="CM20" s="129">
        <f t="shared" si="19"/>
        <v>30.908654472636911</v>
      </c>
      <c r="CN20" s="16">
        <v>925778621.62151575</v>
      </c>
      <c r="CO20" s="16">
        <f t="shared" si="20"/>
        <v>805239155.68019915</v>
      </c>
      <c r="CP20" s="130">
        <v>31.26</v>
      </c>
      <c r="CQ20" s="131">
        <f t="shared" si="192"/>
        <v>30.557308945273821</v>
      </c>
      <c r="CR20" s="5">
        <v>34.6</v>
      </c>
      <c r="CS20" s="132">
        <v>41.44</v>
      </c>
      <c r="CT20" s="5">
        <f t="shared" si="21"/>
        <v>36.198651553044918</v>
      </c>
      <c r="CU20" s="5">
        <v>32.380000000000003</v>
      </c>
      <c r="CV20" s="5">
        <v>44.4</v>
      </c>
      <c r="CW20" s="133"/>
      <c r="CX20" s="134">
        <v>34.94</v>
      </c>
      <c r="CY20" s="5">
        <f t="shared" si="193"/>
        <v>33.209768563431375</v>
      </c>
      <c r="CZ20" s="5">
        <f t="shared" si="170"/>
        <v>36.578046183425606</v>
      </c>
      <c r="DA20" s="5">
        <f t="shared" si="194"/>
        <v>36.155977167333582</v>
      </c>
      <c r="DB20" s="117">
        <f t="shared" si="171"/>
        <v>1902.0584015381314</v>
      </c>
      <c r="DC20" s="135">
        <f t="shared" si="171"/>
        <v>1880.1108127013463</v>
      </c>
      <c r="DD20" s="5">
        <f t="shared" si="22"/>
        <v>1882.3298807583358</v>
      </c>
      <c r="DE20" s="131">
        <f t="shared" si="23"/>
        <v>383653298.98848277</v>
      </c>
      <c r="DF20" s="5">
        <f t="shared" si="24"/>
        <v>302877631.9021247</v>
      </c>
      <c r="DG20" s="131">
        <f t="shared" si="25"/>
        <v>560307357.84806275</v>
      </c>
      <c r="DH20" s="5">
        <f t="shared" si="26"/>
        <v>110642410.81527682</v>
      </c>
      <c r="DI20" s="7">
        <f t="shared" si="195"/>
        <v>939763162.54457068</v>
      </c>
      <c r="DJ20" s="136">
        <f t="shared" si="172"/>
        <v>1336167176.8573503</v>
      </c>
      <c r="DK20" s="16">
        <f t="shared" si="27"/>
        <v>413520042.7174015</v>
      </c>
      <c r="DL20" s="7">
        <f t="shared" si="196"/>
        <v>48867684452.317673</v>
      </c>
      <c r="DM20" s="136">
        <f t="shared" si="196"/>
        <v>69480693196.582214</v>
      </c>
      <c r="DN20" s="16">
        <f t="shared" si="173"/>
        <v>21503042221.304878</v>
      </c>
      <c r="DO20" s="117">
        <f t="shared" si="197"/>
        <v>1902.0584015381314</v>
      </c>
      <c r="DP20" s="135">
        <f t="shared" si="198"/>
        <v>1880.110812701346</v>
      </c>
      <c r="DQ20" s="5">
        <f t="shared" si="28"/>
        <v>1882.3298807583358</v>
      </c>
      <c r="DR20" s="117">
        <f t="shared" si="29"/>
        <v>28.911363076657754</v>
      </c>
      <c r="DS20" s="135">
        <f t="shared" si="199"/>
        <v>20.334157633101984</v>
      </c>
      <c r="DT20" s="5">
        <f t="shared" si="30"/>
        <v>65.703789881260988</v>
      </c>
      <c r="DU20" s="137">
        <f t="shared" si="31"/>
        <v>25.624912136249389</v>
      </c>
      <c r="DV20" s="138">
        <f t="shared" si="32"/>
        <v>47.463478223348844</v>
      </c>
      <c r="DW20" s="130">
        <f t="shared" si="33"/>
        <v>60.96991549326615</v>
      </c>
      <c r="DX20" s="137">
        <v>26.412096884251234</v>
      </c>
      <c r="DY20" s="138">
        <v>61.207152118238781</v>
      </c>
      <c r="DZ20" s="137">
        <f t="shared" si="34"/>
        <v>28.911363076657757</v>
      </c>
      <c r="EA20" s="138">
        <v>44.25142792493979</v>
      </c>
      <c r="EB20" s="130">
        <v>56.806664341828153</v>
      </c>
      <c r="EC20" s="139">
        <f t="shared" si="35"/>
        <v>0.57772852282976694</v>
      </c>
      <c r="ED20" s="140">
        <f t="shared" si="36"/>
        <v>3.9145538813118228</v>
      </c>
      <c r="EE20" s="139">
        <f t="shared" si="37"/>
        <v>0.57772852282976694</v>
      </c>
      <c r="EF20" s="141">
        <f t="shared" si="38"/>
        <v>3.5604665327858607</v>
      </c>
      <c r="EG20" s="142">
        <f t="shared" si="39"/>
        <v>2.5502034440428152</v>
      </c>
      <c r="EH20" s="117">
        <f t="shared" si="40"/>
        <v>23.183992463938161</v>
      </c>
      <c r="EI20" s="117">
        <f t="shared" si="41"/>
        <v>13.394053719487445</v>
      </c>
      <c r="EJ20" s="135">
        <f t="shared" si="42"/>
        <v>7.9281312355661369</v>
      </c>
      <c r="EK20" s="135">
        <f t="shared" si="43"/>
        <v>28.227845931767444</v>
      </c>
      <c r="EL20" s="143">
        <f t="shared" si="44"/>
        <v>10.196218927618268</v>
      </c>
      <c r="EM20" s="143">
        <f t="shared" si="45"/>
        <v>26.00243262542665</v>
      </c>
      <c r="EN20" s="144">
        <f t="shared" si="46"/>
        <v>23.641583111586158</v>
      </c>
      <c r="EO20" s="145">
        <f t="shared" si="47"/>
        <v>13.658416888413839</v>
      </c>
      <c r="EP20" s="146">
        <f t="shared" si="48"/>
        <v>10.196218927618268</v>
      </c>
      <c r="EQ20" s="134">
        <f t="shared" si="49"/>
        <v>26.00243262542665</v>
      </c>
      <c r="ER20" s="130">
        <f t="shared" si="50"/>
        <v>7.9374886961251701</v>
      </c>
      <c r="ES20" s="130">
        <f t="shared" si="51"/>
        <v>28.261162856919746</v>
      </c>
      <c r="ET20" s="117">
        <f t="shared" si="200"/>
        <v>12.058046183425606</v>
      </c>
      <c r="EU20" s="135">
        <f t="shared" si="201"/>
        <v>26.66597716733358</v>
      </c>
      <c r="EV20" s="5">
        <f t="shared" si="52"/>
        <v>24.588651553044919</v>
      </c>
      <c r="EW20" s="145">
        <f t="shared" si="53"/>
        <v>12.839999999999996</v>
      </c>
      <c r="EX20" s="134">
        <f t="shared" si="54"/>
        <v>24.532651553044918</v>
      </c>
      <c r="EY20" s="130">
        <f t="shared" si="55"/>
        <v>26.728651553044919</v>
      </c>
      <c r="EZ20" s="117">
        <f t="shared" si="202"/>
        <v>49.176371058016336</v>
      </c>
      <c r="FA20" s="135">
        <f t="shared" si="203"/>
        <v>280.99027573586488</v>
      </c>
      <c r="FB20" s="5">
        <f t="shared" si="174"/>
        <v>211.78855773509838</v>
      </c>
      <c r="FC20" s="145">
        <f t="shared" si="56"/>
        <v>52.493867538838899</v>
      </c>
      <c r="FD20" s="134">
        <f t="shared" si="57"/>
        <v>210.29188713393552</v>
      </c>
      <c r="FE20" s="130">
        <f t="shared" si="58"/>
        <v>282.24552854324094</v>
      </c>
      <c r="FF20" s="117">
        <f t="shared" si="59"/>
        <v>16.24164852536817</v>
      </c>
      <c r="FG20" s="135">
        <f t="shared" si="175"/>
        <v>18.538589638700255</v>
      </c>
      <c r="FH20" s="5">
        <f t="shared" si="60"/>
        <v>13.36922769961023</v>
      </c>
      <c r="FI20" s="145">
        <f t="shared" si="61"/>
        <v>16.24164852536817</v>
      </c>
      <c r="FJ20" s="134">
        <f t="shared" si="62"/>
        <v>13.36922769961023</v>
      </c>
      <c r="FK20" s="145">
        <f t="shared" si="63"/>
        <v>18.324675416784121</v>
      </c>
      <c r="FL20" s="134">
        <f t="shared" si="64"/>
        <v>13.36922769961023</v>
      </c>
      <c r="FM20" s="130">
        <v>12.4276899322427</v>
      </c>
      <c r="FN20" s="111">
        <v>78.099999999999994</v>
      </c>
      <c r="FO20" s="147">
        <f t="shared" si="65"/>
        <v>2.7013600082749405</v>
      </c>
      <c r="FP20" s="148">
        <f t="shared" si="66"/>
        <v>3.8408279019565073</v>
      </c>
      <c r="FQ20" s="149">
        <f t="shared" si="67"/>
        <v>1.18866811398766</v>
      </c>
      <c r="FR20" s="150">
        <f t="shared" si="68"/>
        <v>3.4588476418373121E-2</v>
      </c>
      <c r="FS20" s="151">
        <f t="shared" si="68"/>
        <v>4.9178334211991137E-2</v>
      </c>
      <c r="FT20" s="122">
        <f t="shared" si="68"/>
        <v>1.5219822202146736E-2</v>
      </c>
      <c r="FU20" s="152">
        <f t="shared" si="69"/>
        <v>1.2901501704053171</v>
      </c>
      <c r="FV20" s="140">
        <f t="shared" si="70"/>
        <v>0.76266327096183217</v>
      </c>
      <c r="FW20" s="153">
        <f t="shared" si="71"/>
        <v>0.59371332992978965</v>
      </c>
      <c r="FX20" s="152">
        <f t="shared" si="72"/>
        <v>1.7683581761626674</v>
      </c>
      <c r="FY20" s="140">
        <f t="shared" si="73"/>
        <v>0.55093704059480642</v>
      </c>
      <c r="FZ20" s="140">
        <f t="shared" si="176"/>
        <v>39.65849009001527</v>
      </c>
      <c r="GA20" s="153">
        <f t="shared" si="176"/>
        <v>30.873093156349061</v>
      </c>
      <c r="GB20" s="152">
        <f t="shared" si="74"/>
        <v>3.9024524052333628E-2</v>
      </c>
      <c r="GC20" s="154">
        <f t="shared" si="75"/>
        <v>1.5219822202146734E-2</v>
      </c>
      <c r="GD20" s="152">
        <f t="shared" si="76"/>
        <v>3.4588476418373121E-2</v>
      </c>
      <c r="GE20" s="154">
        <f t="shared" si="77"/>
        <v>2.1068830971348138E-2</v>
      </c>
      <c r="GF20" s="155">
        <f t="shared" si="78"/>
        <v>1.764413279864754E-2</v>
      </c>
      <c r="GG20" s="152">
        <f t="shared" si="79"/>
        <v>342.58528513202367</v>
      </c>
      <c r="GH20" s="134">
        <f t="shared" si="80"/>
        <v>36.198651553044918</v>
      </c>
      <c r="GI20" s="130">
        <f t="shared" si="81"/>
        <v>36.198651553044918</v>
      </c>
      <c r="GJ20" s="152">
        <f t="shared" si="82"/>
        <v>1.0307195101320283</v>
      </c>
      <c r="GK20" s="154">
        <f t="shared" si="82"/>
        <v>0.93156197273934316</v>
      </c>
      <c r="GL20" s="152">
        <f t="shared" si="82"/>
        <v>1.0000000000000002</v>
      </c>
      <c r="GM20" s="154">
        <f t="shared" si="82"/>
        <v>0.93232585519135125</v>
      </c>
      <c r="GN20" s="154">
        <f t="shared" si="82"/>
        <v>1.0023043294954117</v>
      </c>
      <c r="GO20" s="112">
        <f t="shared" si="177"/>
        <v>0.56177387701520143</v>
      </c>
      <c r="GP20" s="156">
        <f t="shared" si="177"/>
        <v>0.9116969570709571</v>
      </c>
      <c r="GQ20" s="115">
        <f t="shared" si="177"/>
        <v>0.2034772685680829</v>
      </c>
      <c r="GR20" s="117">
        <f t="shared" si="204"/>
        <v>387.02564820195283</v>
      </c>
      <c r="GS20" s="135">
        <f t="shared" si="178"/>
        <v>1714.0913068960213</v>
      </c>
      <c r="GT20" s="5">
        <f t="shared" si="178"/>
        <v>383.01134268079136</v>
      </c>
      <c r="GU20" s="130">
        <f t="shared" si="83"/>
        <v>412.74941219850888</v>
      </c>
      <c r="GV20" s="145">
        <f t="shared" si="84"/>
        <v>1068.5267225414129</v>
      </c>
      <c r="GW20" s="134">
        <f t="shared" si="85"/>
        <v>411.14961096416533</v>
      </c>
      <c r="GX20" s="157">
        <f t="shared" si="179"/>
        <v>0.63382260352777919</v>
      </c>
      <c r="GY20" s="154">
        <f t="shared" si="86"/>
        <v>0.20347726856808288</v>
      </c>
      <c r="GZ20" s="157">
        <f t="shared" si="86"/>
        <v>0.63382260352777919</v>
      </c>
      <c r="HA20" s="154">
        <f t="shared" si="86"/>
        <v>0.28167399862055342</v>
      </c>
      <c r="HB20" s="155">
        <f t="shared" si="86"/>
        <v>0.21927581154490525</v>
      </c>
      <c r="HC20" s="157">
        <f t="shared" si="87"/>
        <v>0.61493218794955251</v>
      </c>
      <c r="HD20" s="154">
        <f t="shared" si="88"/>
        <v>0.21842590672710629</v>
      </c>
      <c r="HE20" s="144">
        <v>78.099999999999994</v>
      </c>
      <c r="HF20" s="146"/>
      <c r="HG20" s="158">
        <f t="shared" si="89"/>
        <v>134.48114503182907</v>
      </c>
      <c r="HH20" s="2">
        <f t="shared" si="90"/>
        <v>94.783288895904178</v>
      </c>
      <c r="HI20" s="2">
        <f t="shared" si="91"/>
        <v>98.196874776300916</v>
      </c>
      <c r="HJ20" s="2">
        <f t="shared" si="92"/>
        <v>97.900262467191595</v>
      </c>
      <c r="HK20" s="2">
        <f t="shared" si="93"/>
        <v>139.54485571247218</v>
      </c>
      <c r="HL20" s="2">
        <f t="shared" si="180"/>
        <v>98.726262231741302</v>
      </c>
      <c r="HM20" s="2">
        <f t="shared" si="94"/>
        <v>151.36671505468937</v>
      </c>
      <c r="HN20" s="2">
        <f t="shared" si="95"/>
        <v>103.60799175584492</v>
      </c>
      <c r="HO20" s="2">
        <f t="shared" si="181"/>
        <v>88.402098118956047</v>
      </c>
      <c r="HP20" s="2">
        <f t="shared" si="96"/>
        <v>84.73791550158225</v>
      </c>
      <c r="HQ20" s="2">
        <f t="shared" si="182"/>
        <v>87.721555939372109</v>
      </c>
      <c r="HR20" s="159">
        <f t="shared" si="97"/>
        <v>137.23576708125287</v>
      </c>
      <c r="HS20" s="12">
        <f t="shared" si="98"/>
        <v>118.97571677500895</v>
      </c>
      <c r="HT20" s="12">
        <f t="shared" si="99"/>
        <v>89.849456203962163</v>
      </c>
      <c r="HU20" s="12">
        <f t="shared" si="100"/>
        <v>96.504003073966729</v>
      </c>
      <c r="HV20" s="12">
        <f t="shared" si="101"/>
        <v>126.6790656900523</v>
      </c>
      <c r="HW20" s="12">
        <f t="shared" si="183"/>
        <v>89.08812108935328</v>
      </c>
      <c r="HX20" s="12">
        <f t="shared" si="102"/>
        <v>131.32836640088635</v>
      </c>
      <c r="HY20" s="12">
        <f t="shared" si="103"/>
        <v>115.84742151106589</v>
      </c>
      <c r="HZ20" s="12">
        <f t="shared" si="104"/>
        <v>84.964241717501437</v>
      </c>
      <c r="IA20" s="12">
        <f t="shared" si="105"/>
        <v>84.687098460220867</v>
      </c>
      <c r="IB20" s="12">
        <f t="shared" si="184"/>
        <v>93.15619727393431</v>
      </c>
      <c r="IC20" s="158">
        <f t="shared" si="106"/>
        <v>147.2065329768725</v>
      </c>
      <c r="ID20" s="2">
        <f t="shared" si="107"/>
        <v>96.650108791897964</v>
      </c>
      <c r="IE20" s="2">
        <f t="shared" si="108"/>
        <v>100.13502117605452</v>
      </c>
      <c r="IF20" s="2">
        <f t="shared" si="109"/>
        <v>97.900262467191595</v>
      </c>
      <c r="IG20" s="2">
        <f t="shared" si="110"/>
        <v>145.32489264070691</v>
      </c>
      <c r="IH20" s="2">
        <f t="shared" si="185"/>
        <v>98.726262231741302</v>
      </c>
      <c r="II20" s="2">
        <f t="shared" si="111"/>
        <v>145.31859965728884</v>
      </c>
      <c r="IJ20" s="2">
        <f t="shared" si="112"/>
        <v>103.60799175584492</v>
      </c>
      <c r="IK20" s="2">
        <f t="shared" si="113"/>
        <v>94.134897360703789</v>
      </c>
      <c r="IL20" s="2">
        <f t="shared" si="114"/>
        <v>67.927094301596853</v>
      </c>
      <c r="IM20" s="2">
        <f t="shared" si="186"/>
        <v>100.00000000000003</v>
      </c>
      <c r="IN20" s="159">
        <f t="shared" si="115"/>
        <v>135.11886389294591</v>
      </c>
      <c r="IO20" s="12">
        <f t="shared" si="116"/>
        <v>87.40115658853307</v>
      </c>
      <c r="IP20" s="12">
        <f t="shared" si="117"/>
        <v>100.62860923152728</v>
      </c>
      <c r="IQ20" s="12">
        <f t="shared" si="118"/>
        <v>96.504003073966729</v>
      </c>
      <c r="IR20" s="12">
        <f t="shared" si="119"/>
        <v>126.6790656900523</v>
      </c>
      <c r="IS20" s="12">
        <f t="shared" si="187"/>
        <v>90.570417562878916</v>
      </c>
      <c r="IT20" s="12">
        <f t="shared" si="120"/>
        <v>131.32836640088635</v>
      </c>
      <c r="IU20" s="12">
        <f t="shared" si="121"/>
        <v>115.12606174069428</v>
      </c>
      <c r="IV20" s="12">
        <f t="shared" si="122"/>
        <v>94.94060198546795</v>
      </c>
      <c r="IW20" s="12">
        <f t="shared" si="123"/>
        <v>69.078134332288982</v>
      </c>
      <c r="IX20" s="12">
        <f t="shared" si="188"/>
        <v>93.232585519135128</v>
      </c>
      <c r="IY20" s="160">
        <f t="shared" si="124"/>
        <v>140.81969346015902</v>
      </c>
      <c r="IZ20" s="25">
        <f t="shared" si="125"/>
        <v>83.817198480730397</v>
      </c>
      <c r="JA20" s="25">
        <f t="shared" si="126"/>
        <v>100.78874057389353</v>
      </c>
      <c r="JB20" s="25">
        <f t="shared" si="127"/>
        <v>96.504003073966729</v>
      </c>
      <c r="JC20" s="25">
        <f t="shared" si="128"/>
        <v>126.6790656900523</v>
      </c>
      <c r="JD20" s="25">
        <f t="shared" si="189"/>
        <v>86.84190556233871</v>
      </c>
      <c r="JE20" s="25">
        <f t="shared" si="129"/>
        <v>122.07946888254126</v>
      </c>
      <c r="JF20" s="25">
        <f t="shared" si="130"/>
        <v>120.27059136954921</v>
      </c>
      <c r="JG20" s="25">
        <f t="shared" si="131"/>
        <v>95.323293698448367</v>
      </c>
      <c r="JH20" s="25">
        <f t="shared" si="132"/>
        <v>71.145696768740081</v>
      </c>
      <c r="JI20" s="25">
        <f t="shared" si="190"/>
        <v>100.23043294954117</v>
      </c>
    </row>
    <row r="21" spans="1:269" x14ac:dyDescent="0.35">
      <c r="A21" s="109">
        <v>2006</v>
      </c>
      <c r="B21" s="110">
        <v>738444000000</v>
      </c>
      <c r="C21" s="111">
        <v>80.400000000000006</v>
      </c>
      <c r="D21" s="112">
        <f t="shared" si="133"/>
        <v>0.80400000000000005</v>
      </c>
      <c r="E21" s="111">
        <f t="shared" si="134"/>
        <v>9184626865.6716404</v>
      </c>
      <c r="F21" s="113">
        <f t="shared" si="135"/>
        <v>918462686567.16418</v>
      </c>
      <c r="G21" s="114">
        <v>44120000000</v>
      </c>
      <c r="H21" s="110">
        <v>10940000000</v>
      </c>
      <c r="I21" s="110">
        <v>263058000000</v>
      </c>
      <c r="J21" s="110">
        <v>90286000000</v>
      </c>
      <c r="K21" s="112">
        <v>77.099999999999994</v>
      </c>
      <c r="L21" s="112">
        <f t="shared" si="136"/>
        <v>0.77099999999999991</v>
      </c>
      <c r="M21" s="112">
        <f t="shared" si="137"/>
        <v>572243839.16990924</v>
      </c>
      <c r="N21" s="112">
        <f t="shared" si="138"/>
        <v>3411906614.7859926</v>
      </c>
      <c r="O21" s="112">
        <f t="shared" si="139"/>
        <v>3411906614.7859926</v>
      </c>
      <c r="P21" s="112">
        <f t="shared" si="140"/>
        <v>57224383916.990929</v>
      </c>
      <c r="Q21" s="112">
        <f t="shared" si="141"/>
        <v>14189364461.738005</v>
      </c>
      <c r="R21" s="112">
        <f t="shared" si="142"/>
        <v>341190661478.59924</v>
      </c>
      <c r="S21" s="115">
        <f t="shared" si="143"/>
        <v>412604409857.32819</v>
      </c>
      <c r="T21" s="112">
        <f t="shared" si="144"/>
        <v>1171024643.3203633</v>
      </c>
      <c r="U21" s="115">
        <f t="shared" si="145"/>
        <v>117102464332.03633</v>
      </c>
      <c r="V21" s="116">
        <f t="shared" si="146"/>
        <v>1448169560756.5288</v>
      </c>
      <c r="W21" s="117">
        <f t="shared" si="147"/>
        <v>1146848000000</v>
      </c>
      <c r="X21" s="112">
        <v>73.656850000000006</v>
      </c>
      <c r="Y21" s="112">
        <f t="shared" si="148"/>
        <v>0.73656850000000007</v>
      </c>
      <c r="Z21" s="112">
        <f t="shared" si="149"/>
        <v>1557014724360.3274</v>
      </c>
      <c r="AA21" s="115">
        <v>0.251</v>
      </c>
      <c r="AB21" s="115">
        <v>0.307</v>
      </c>
      <c r="AC21" s="115">
        <f t="shared" si="150"/>
        <v>0.55800000000000005</v>
      </c>
      <c r="AD21" s="118">
        <v>0.32719819952807266</v>
      </c>
      <c r="AE21" s="115">
        <f t="shared" si="151"/>
        <v>0.88519819952807266</v>
      </c>
      <c r="AF21" s="115">
        <f t="shared" si="152"/>
        <v>0.11480180047192734</v>
      </c>
      <c r="AG21" s="119">
        <v>0.24546612075077176</v>
      </c>
      <c r="AH21" s="119">
        <v>0.30580292536548725</v>
      </c>
      <c r="AI21" s="119">
        <f t="shared" si="153"/>
        <v>0.55126904611625904</v>
      </c>
      <c r="AJ21" s="16">
        <v>2945000</v>
      </c>
      <c r="AK21" s="120">
        <v>23073000</v>
      </c>
      <c r="AL21" s="121">
        <f t="shared" si="154"/>
        <v>26018000</v>
      </c>
      <c r="AM21" s="122">
        <v>0.17633100000000002</v>
      </c>
      <c r="AN21" s="123">
        <f t="shared" si="191"/>
        <v>4068485.1630000002</v>
      </c>
      <c r="AO21" s="124">
        <v>0.81686895068366872</v>
      </c>
      <c r="AP21" s="123">
        <f t="shared" si="155"/>
        <v>18847617.299124289</v>
      </c>
      <c r="AQ21" s="125">
        <v>0.47335149999999998</v>
      </c>
      <c r="AR21" s="123">
        <f t="shared" si="156"/>
        <v>8921547.9199664313</v>
      </c>
      <c r="AS21" s="123">
        <f t="shared" si="157"/>
        <v>9926069.3791578598</v>
      </c>
      <c r="AT21" s="115">
        <f t="shared" si="0"/>
        <v>496.92595689162567</v>
      </c>
      <c r="AU21" s="126">
        <v>0.65068490000000001</v>
      </c>
      <c r="AV21" s="123">
        <f t="shared" si="1"/>
        <v>2647301.8614381389</v>
      </c>
      <c r="AW21" s="123">
        <f t="shared" si="158"/>
        <v>1421183.3015618613</v>
      </c>
      <c r="AX21" s="127">
        <f t="shared" si="159"/>
        <v>11568849.78140457</v>
      </c>
      <c r="AY21" s="127">
        <f t="shared" si="159"/>
        <v>11347252.680719722</v>
      </c>
      <c r="AZ21" s="16">
        <f t="shared" si="2"/>
        <v>68406676555.158714</v>
      </c>
      <c r="BA21" s="16">
        <f t="shared" si="3"/>
        <v>48695787776.877617</v>
      </c>
      <c r="BB21" s="16">
        <f t="shared" si="4"/>
        <v>230534134328.35822</v>
      </c>
      <c r="BC21" s="16">
        <f t="shared" si="5"/>
        <v>281968044776.11938</v>
      </c>
      <c r="BD21" s="17">
        <f t="shared" si="6"/>
        <v>300519337378.49268</v>
      </c>
      <c r="BE21" s="16">
        <f t="shared" si="160"/>
        <v>813021516482.97021</v>
      </c>
      <c r="BF21" s="117">
        <v>918462686567.16418</v>
      </c>
      <c r="BG21" s="116">
        <f t="shared" si="161"/>
        <v>0.88519819952807266</v>
      </c>
      <c r="BH21" s="115">
        <v>0.88519819952807266</v>
      </c>
      <c r="BI21" s="17">
        <v>47219640.49207592</v>
      </c>
      <c r="BJ21" s="7">
        <f t="shared" si="162"/>
        <v>813021516482.97021</v>
      </c>
      <c r="BK21" s="16">
        <f t="shared" si="163"/>
        <v>298940810883.51691</v>
      </c>
      <c r="BL21" s="112">
        <f t="shared" si="7"/>
        <v>35301.048757289733</v>
      </c>
      <c r="BM21" s="112">
        <f t="shared" si="8"/>
        <v>31248.424801405574</v>
      </c>
      <c r="BN21" s="115">
        <f t="shared" si="9"/>
        <v>25840.149758364536</v>
      </c>
      <c r="BO21" s="112">
        <f t="shared" si="164"/>
        <v>678.86632225557173</v>
      </c>
      <c r="BP21" s="112">
        <f t="shared" si="164"/>
        <v>600.93124618087643</v>
      </c>
      <c r="BQ21" s="115">
        <f t="shared" si="164"/>
        <v>496.92595689162567</v>
      </c>
      <c r="BR21" s="112">
        <f t="shared" si="10"/>
        <v>529706874189.36462</v>
      </c>
      <c r="BS21" s="115">
        <f t="shared" si="11"/>
        <v>1149228749873.012</v>
      </c>
      <c r="BT21" s="112">
        <f t="shared" si="12"/>
        <v>529706874189.3645</v>
      </c>
      <c r="BU21" s="115">
        <f t="shared" si="13"/>
        <v>743268242410.3252</v>
      </c>
      <c r="BV21" s="118">
        <f t="shared" si="14"/>
        <v>1043787579788.8179</v>
      </c>
      <c r="BW21" s="112">
        <f t="shared" si="15"/>
        <v>55660.295209336953</v>
      </c>
      <c r="BX21" s="115">
        <f t="shared" si="16"/>
        <v>125178.35291493491</v>
      </c>
      <c r="BY21" s="128">
        <f t="shared" si="17"/>
        <v>1315815326274.1084</v>
      </c>
      <c r="BZ21" s="119">
        <f t="shared" si="18"/>
        <v>1351915041864.9077</v>
      </c>
      <c r="CA21" s="113">
        <v>37.200000000000003</v>
      </c>
      <c r="CB21" s="113">
        <v>15.7</v>
      </c>
      <c r="CC21" s="113">
        <v>9.4</v>
      </c>
      <c r="CD21" s="113">
        <v>18801861.017784446</v>
      </c>
      <c r="CE21" s="113">
        <v>6379091.2187896222</v>
      </c>
      <c r="CF21" s="113">
        <v>1050777.7570438569</v>
      </c>
      <c r="CG21" s="113">
        <f t="shared" si="165"/>
        <v>26231729.993617926</v>
      </c>
      <c r="CH21" s="113">
        <v>26018000</v>
      </c>
      <c r="CI21" s="113">
        <f t="shared" si="166"/>
        <v>-213729.99361792579</v>
      </c>
      <c r="CJ21" s="122">
        <f t="shared" si="167"/>
        <v>0.71676023740557193</v>
      </c>
      <c r="CK21" s="122">
        <f t="shared" si="168"/>
        <v>0.24318225371874555</v>
      </c>
      <c r="CL21" s="122">
        <f t="shared" si="169"/>
        <v>4.0057508875682497E-2</v>
      </c>
      <c r="CM21" s="129">
        <f t="shared" si="19"/>
        <v>30.857982798302995</v>
      </c>
      <c r="CN21" s="16">
        <v>932238583.27889574</v>
      </c>
      <c r="CO21" s="16">
        <f t="shared" si="20"/>
        <v>809458272.91279066</v>
      </c>
      <c r="CP21" s="130">
        <v>31.57</v>
      </c>
      <c r="CQ21" s="131">
        <f t="shared" si="192"/>
        <v>30.14596559660599</v>
      </c>
      <c r="CR21" s="5">
        <v>34.57</v>
      </c>
      <c r="CS21" s="132">
        <v>40.619999999999997</v>
      </c>
      <c r="CT21" s="5">
        <f t="shared" si="21"/>
        <v>35.954422528110335</v>
      </c>
      <c r="CU21" s="5">
        <v>32.19</v>
      </c>
      <c r="CV21" s="5">
        <v>42.32</v>
      </c>
      <c r="CW21" s="133"/>
      <c r="CX21" s="134">
        <v>33.619999999999997</v>
      </c>
      <c r="CY21" s="5">
        <f t="shared" si="193"/>
        <v>33.069545522014138</v>
      </c>
      <c r="CZ21" s="5">
        <f t="shared" si="170"/>
        <v>36.205595928928375</v>
      </c>
      <c r="DA21" s="5">
        <f t="shared" si="194"/>
        <v>35.838693657696979</v>
      </c>
      <c r="DB21" s="117">
        <f t="shared" si="171"/>
        <v>1882.6909883042754</v>
      </c>
      <c r="DC21" s="135">
        <f t="shared" si="171"/>
        <v>1863.6120702002429</v>
      </c>
      <c r="DD21" s="5">
        <f t="shared" si="22"/>
        <v>1869.6299714617373</v>
      </c>
      <c r="DE21" s="131">
        <f t="shared" si="23"/>
        <v>392681229.04021883</v>
      </c>
      <c r="DF21" s="5">
        <f t="shared" si="24"/>
        <v>308417911.59323955</v>
      </c>
      <c r="DG21" s="131">
        <f t="shared" si="25"/>
        <v>539792831.0143981</v>
      </c>
      <c r="DH21" s="5">
        <f t="shared" si="26"/>
        <v>107533401.61161719</v>
      </c>
      <c r="DI21" s="7">
        <f t="shared" si="195"/>
        <v>941997194.87885845</v>
      </c>
      <c r="DJ21" s="136">
        <f t="shared" si="172"/>
        <v>1333498841.4711804</v>
      </c>
      <c r="DK21" s="16">
        <f t="shared" si="27"/>
        <v>415951313.20485675</v>
      </c>
      <c r="DL21" s="7">
        <f t="shared" si="196"/>
        <v>48983854133.700638</v>
      </c>
      <c r="DM21" s="136">
        <f t="shared" si="196"/>
        <v>69341939756.501389</v>
      </c>
      <c r="DN21" s="16">
        <f t="shared" si="173"/>
        <v>21629468286.65255</v>
      </c>
      <c r="DO21" s="117">
        <f t="shared" si="197"/>
        <v>1882.6909883042754</v>
      </c>
      <c r="DP21" s="135">
        <f t="shared" si="198"/>
        <v>1863.6120702002429</v>
      </c>
      <c r="DQ21" s="5">
        <f t="shared" si="28"/>
        <v>1869.6299714617371</v>
      </c>
      <c r="DR21" s="117">
        <f t="shared" si="29"/>
        <v>29.564222464075069</v>
      </c>
      <c r="DS21" s="135">
        <f t="shared" si="199"/>
        <v>20.884468560323924</v>
      </c>
      <c r="DT21" s="5">
        <f t="shared" si="30"/>
        <v>66.953544190921605</v>
      </c>
      <c r="DU21" s="137">
        <f t="shared" si="31"/>
        <v>26.170196495646646</v>
      </c>
      <c r="DV21" s="138">
        <f t="shared" si="32"/>
        <v>48.184682095813912</v>
      </c>
      <c r="DW21" s="130">
        <f t="shared" si="33"/>
        <v>62.078659210542249</v>
      </c>
      <c r="DX21" s="137">
        <v>26.862225309642064</v>
      </c>
      <c r="DY21" s="138">
        <v>62.503387690726015</v>
      </c>
      <c r="DZ21" s="137">
        <f t="shared" si="34"/>
        <v>29.564222464075065</v>
      </c>
      <c r="EA21" s="138">
        <v>45.032671136634022</v>
      </c>
      <c r="EB21" s="130">
        <v>57.96567340125889</v>
      </c>
      <c r="EC21" s="139">
        <f t="shared" si="35"/>
        <v>0.57673205666001637</v>
      </c>
      <c r="ED21" s="140">
        <f t="shared" si="36"/>
        <v>3.844335427058208</v>
      </c>
      <c r="EE21" s="139">
        <f t="shared" si="37"/>
        <v>0.57673205666001626</v>
      </c>
      <c r="EF21" s="141">
        <f t="shared" si="38"/>
        <v>3.4916195507194647</v>
      </c>
      <c r="EG21" s="142">
        <f t="shared" si="39"/>
        <v>2.4863391526021568</v>
      </c>
      <c r="EH21" s="117">
        <f t="shared" si="40"/>
        <v>22.962427747947554</v>
      </c>
      <c r="EI21" s="117">
        <f t="shared" si="41"/>
        <v>13.24316818098082</v>
      </c>
      <c r="EJ21" s="135">
        <f t="shared" si="42"/>
        <v>7.9790136392910567</v>
      </c>
      <c r="EK21" s="135">
        <f t="shared" si="43"/>
        <v>27.859680018405921</v>
      </c>
      <c r="EL21" s="143">
        <f t="shared" si="44"/>
        <v>10.312944597278907</v>
      </c>
      <c r="EM21" s="143">
        <f t="shared" si="45"/>
        <v>25.641477930831428</v>
      </c>
      <c r="EN21" s="144">
        <f t="shared" si="46"/>
        <v>23.593101848135554</v>
      </c>
      <c r="EO21" s="145">
        <f t="shared" si="47"/>
        <v>13.606898151864449</v>
      </c>
      <c r="EP21" s="146">
        <f t="shared" si="48"/>
        <v>10.312944597278907</v>
      </c>
      <c r="EQ21" s="134">
        <f t="shared" si="49"/>
        <v>25.641477930831428</v>
      </c>
      <c r="ER21" s="130">
        <f t="shared" si="50"/>
        <v>8.0047791497281153</v>
      </c>
      <c r="ES21" s="130">
        <f t="shared" si="51"/>
        <v>27.94964337838222</v>
      </c>
      <c r="ET21" s="117">
        <f t="shared" si="200"/>
        <v>11.685595928928375</v>
      </c>
      <c r="EU21" s="135">
        <f t="shared" si="201"/>
        <v>26.348693657696977</v>
      </c>
      <c r="EV21" s="5">
        <f t="shared" si="52"/>
        <v>24.344422528110336</v>
      </c>
      <c r="EW21" s="145">
        <f t="shared" si="53"/>
        <v>12.740000000000002</v>
      </c>
      <c r="EX21" s="134">
        <f t="shared" si="54"/>
        <v>24.288422528110335</v>
      </c>
      <c r="EY21" s="130">
        <f t="shared" si="55"/>
        <v>26.484422528110336</v>
      </c>
      <c r="EZ21" s="117">
        <f t="shared" si="202"/>
        <v>47.657405909169562</v>
      </c>
      <c r="FA21" s="135">
        <f t="shared" si="203"/>
        <v>277.64693000734428</v>
      </c>
      <c r="FB21" s="5">
        <f t="shared" si="174"/>
        <v>209.68494856253523</v>
      </c>
      <c r="FC21" s="145">
        <f t="shared" si="56"/>
        <v>52.085036794766971</v>
      </c>
      <c r="FD21" s="134">
        <f t="shared" si="57"/>
        <v>208.19837586242355</v>
      </c>
      <c r="FE21" s="130">
        <f t="shared" si="58"/>
        <v>279.66655256716297</v>
      </c>
      <c r="FF21" s="117">
        <f t="shared" si="59"/>
        <v>16.597744927621275</v>
      </c>
      <c r="FG21" s="135">
        <f t="shared" si="175"/>
        <v>18.942273084492673</v>
      </c>
      <c r="FH21" s="5">
        <f t="shared" si="60"/>
        <v>13.820996749512885</v>
      </c>
      <c r="FI21" s="145">
        <f t="shared" si="61"/>
        <v>16.597744927621275</v>
      </c>
      <c r="FJ21" s="134">
        <f t="shared" si="62"/>
        <v>13.820996749512885</v>
      </c>
      <c r="FK21" s="145">
        <f t="shared" si="63"/>
        <v>18.750314829458603</v>
      </c>
      <c r="FL21" s="134">
        <f t="shared" si="64"/>
        <v>13.820996749512885</v>
      </c>
      <c r="FM21" s="130">
        <v>12.865069575459582</v>
      </c>
      <c r="FN21" s="111">
        <v>79.900000000000006</v>
      </c>
      <c r="FO21" s="147">
        <f t="shared" si="65"/>
        <v>2.7025909474565211</v>
      </c>
      <c r="FP21" s="148">
        <f t="shared" si="66"/>
        <v>3.8258095852050129</v>
      </c>
      <c r="FQ21" s="149">
        <f t="shared" si="67"/>
        <v>1.1933647570942756</v>
      </c>
      <c r="FR21" s="150">
        <f t="shared" si="68"/>
        <v>3.3824667677803767E-2</v>
      </c>
      <c r="FS21" s="151">
        <f t="shared" si="68"/>
        <v>4.7882472906195406E-2</v>
      </c>
      <c r="FT21" s="122">
        <f t="shared" si="68"/>
        <v>1.49357291250848E-2</v>
      </c>
      <c r="FU21" s="152">
        <f t="shared" si="69"/>
        <v>1.2582776376143003</v>
      </c>
      <c r="FV21" s="140">
        <f t="shared" si="70"/>
        <v>0.74617951108644776</v>
      </c>
      <c r="FW21" s="153">
        <f t="shared" si="71"/>
        <v>0.57917524291511313</v>
      </c>
      <c r="FX21" s="152">
        <f t="shared" si="72"/>
        <v>1.7070477821338812</v>
      </c>
      <c r="FY21" s="140">
        <f t="shared" si="73"/>
        <v>0.53700551572870259</v>
      </c>
      <c r="FZ21" s="140">
        <f t="shared" si="176"/>
        <v>38.801334576495286</v>
      </c>
      <c r="GA21" s="153">
        <f t="shared" si="176"/>
        <v>30.117112631585883</v>
      </c>
      <c r="GB21" s="152">
        <f t="shared" si="74"/>
        <v>3.8211405870274898E-2</v>
      </c>
      <c r="GC21" s="154">
        <f t="shared" si="75"/>
        <v>1.4935729125084798E-2</v>
      </c>
      <c r="GD21" s="152">
        <f t="shared" si="76"/>
        <v>3.3824667677803774E-2</v>
      </c>
      <c r="GE21" s="154">
        <f t="shared" si="77"/>
        <v>2.0753483399797625E-2</v>
      </c>
      <c r="GF21" s="155">
        <f t="shared" si="78"/>
        <v>1.7305529707579051E-2</v>
      </c>
      <c r="GG21" s="152">
        <f t="shared" si="79"/>
        <v>361.6982007004458</v>
      </c>
      <c r="GH21" s="134">
        <f t="shared" si="80"/>
        <v>35.954422528110335</v>
      </c>
      <c r="GI21" s="130">
        <f t="shared" si="81"/>
        <v>35.954422528110335</v>
      </c>
      <c r="GJ21" s="152">
        <f t="shared" si="82"/>
        <v>1.0264433938855038</v>
      </c>
      <c r="GK21" s="154">
        <f t="shared" si="82"/>
        <v>0.93353366794884318</v>
      </c>
      <c r="GL21" s="152">
        <f t="shared" si="82"/>
        <v>1.0000000000000002</v>
      </c>
      <c r="GM21" s="154">
        <f t="shared" si="82"/>
        <v>0.93458479288267982</v>
      </c>
      <c r="GN21" s="154">
        <f t="shared" si="82"/>
        <v>1.0031266830653105</v>
      </c>
      <c r="GO21" s="112">
        <f t="shared" si="177"/>
        <v>0.56141320637774272</v>
      </c>
      <c r="GP21" s="156">
        <f t="shared" si="177"/>
        <v>0.90700287774997479</v>
      </c>
      <c r="GQ21" s="115">
        <f t="shared" si="177"/>
        <v>0.20642666368940193</v>
      </c>
      <c r="GR21" s="117">
        <f t="shared" si="204"/>
        <v>388.6376194737544</v>
      </c>
      <c r="GS21" s="135">
        <f t="shared" si="178"/>
        <v>1690.3015106812084</v>
      </c>
      <c r="GT21" s="5">
        <f t="shared" si="178"/>
        <v>385.94147734255813</v>
      </c>
      <c r="GU21" s="130">
        <f t="shared" si="83"/>
        <v>416.24851578586197</v>
      </c>
      <c r="GV21" s="145">
        <f t="shared" si="84"/>
        <v>1056.9675843623847</v>
      </c>
      <c r="GW21" s="134">
        <f t="shared" si="85"/>
        <v>413.41998750891042</v>
      </c>
      <c r="GX21" s="157">
        <f t="shared" si="179"/>
        <v>0.63422316796063294</v>
      </c>
      <c r="GY21" s="154">
        <f t="shared" si="86"/>
        <v>0.20642666368940191</v>
      </c>
      <c r="GZ21" s="157">
        <f t="shared" si="86"/>
        <v>0.63422316796063316</v>
      </c>
      <c r="HA21" s="154">
        <f t="shared" si="86"/>
        <v>0.2868338266096726</v>
      </c>
      <c r="HB21" s="155">
        <f t="shared" si="86"/>
        <v>0.22263684372818721</v>
      </c>
      <c r="HC21" s="157">
        <f t="shared" si="87"/>
        <v>0.61788421235762603</v>
      </c>
      <c r="HD21" s="154">
        <f t="shared" si="88"/>
        <v>0.22112396239865867</v>
      </c>
      <c r="HE21" s="144">
        <v>79.900000000000006</v>
      </c>
      <c r="HF21" s="146"/>
      <c r="HG21" s="158">
        <f t="shared" si="89"/>
        <v>136.77304129145654</v>
      </c>
      <c r="HH21" s="2">
        <f t="shared" si="90"/>
        <v>93.87746421891886</v>
      </c>
      <c r="HI21" s="2">
        <f t="shared" si="91"/>
        <v>97.090675813642363</v>
      </c>
      <c r="HJ21" s="2">
        <f t="shared" si="92"/>
        <v>97.637795275590548</v>
      </c>
      <c r="HK21" s="2">
        <f t="shared" si="93"/>
        <v>141.33225901569824</v>
      </c>
      <c r="HL21" s="2">
        <f t="shared" si="180"/>
        <v>98.788655445581455</v>
      </c>
      <c r="HM21" s="2">
        <f t="shared" si="94"/>
        <v>154.68541405052446</v>
      </c>
      <c r="HN21" s="2">
        <f t="shared" si="95"/>
        <v>103.42928868923016</v>
      </c>
      <c r="HO21" s="2">
        <f t="shared" si="181"/>
        <v>85.671524405633249</v>
      </c>
      <c r="HP21" s="2">
        <f t="shared" si="96"/>
        <v>84.776528355861885</v>
      </c>
      <c r="HQ21" s="2">
        <f t="shared" si="182"/>
        <v>87.357628055175269</v>
      </c>
      <c r="HR21" s="159">
        <f t="shared" si="97"/>
        <v>140.14212486709869</v>
      </c>
      <c r="HS21" s="12">
        <f t="shared" si="98"/>
        <v>120.33774325879705</v>
      </c>
      <c r="HT21" s="12">
        <f t="shared" si="99"/>
        <v>88.602204322154208</v>
      </c>
      <c r="HU21" s="12">
        <f t="shared" si="100"/>
        <v>95.85289930181375</v>
      </c>
      <c r="HV21" s="12">
        <f t="shared" si="101"/>
        <v>130.07619409714499</v>
      </c>
      <c r="HW21" s="12">
        <f t="shared" si="183"/>
        <v>90.379449951577016</v>
      </c>
      <c r="HX21" s="12">
        <f t="shared" si="102"/>
        <v>135.76617632134463</v>
      </c>
      <c r="HY21" s="12">
        <f t="shared" si="103"/>
        <v>113.76937453191741</v>
      </c>
      <c r="HZ21" s="12">
        <f t="shared" si="104"/>
        <v>84.12032663479728</v>
      </c>
      <c r="IA21" s="12">
        <f t="shared" si="105"/>
        <v>85.021712531652582</v>
      </c>
      <c r="IB21" s="12">
        <f t="shared" si="184"/>
        <v>93.353366794884323</v>
      </c>
      <c r="IC21" s="158">
        <f t="shared" si="106"/>
        <v>150.53066427736795</v>
      </c>
      <c r="ID21" s="2">
        <f t="shared" si="107"/>
        <v>96.451910584749427</v>
      </c>
      <c r="IE21" s="2">
        <f t="shared" si="108"/>
        <v>99.757317828918247</v>
      </c>
      <c r="IF21" s="2">
        <f t="shared" si="109"/>
        <v>97.637795275590548</v>
      </c>
      <c r="IG21" s="2">
        <f t="shared" si="110"/>
        <v>146.99893394012648</v>
      </c>
      <c r="IH21" s="2">
        <f t="shared" si="185"/>
        <v>98.788655445581483</v>
      </c>
      <c r="II21" s="2">
        <f t="shared" si="111"/>
        <v>148.69401133591279</v>
      </c>
      <c r="IJ21" s="2">
        <f t="shared" si="112"/>
        <v>103.42928868923013</v>
      </c>
      <c r="IK21" s="2">
        <f t="shared" si="113"/>
        <v>93.401759530791793</v>
      </c>
      <c r="IL21" s="2">
        <f t="shared" si="114"/>
        <v>66.427077136299644</v>
      </c>
      <c r="IM21" s="2">
        <f t="shared" si="186"/>
        <v>100.00000000000003</v>
      </c>
      <c r="IN21" s="159">
        <f t="shared" si="115"/>
        <v>137.50433934850085</v>
      </c>
      <c r="IO21" s="12">
        <f t="shared" si="116"/>
        <v>88.40171950350512</v>
      </c>
      <c r="IP21" s="12">
        <f t="shared" si="117"/>
        <v>99.231725738511727</v>
      </c>
      <c r="IQ21" s="12">
        <f t="shared" si="118"/>
        <v>95.85289930181375</v>
      </c>
      <c r="IR21" s="12">
        <f t="shared" si="119"/>
        <v>130.07619409714499</v>
      </c>
      <c r="IS21" s="12">
        <f t="shared" si="187"/>
        <v>92.229526241052284</v>
      </c>
      <c r="IT21" s="12">
        <f t="shared" si="120"/>
        <v>135.76617632134463</v>
      </c>
      <c r="IU21" s="12">
        <f t="shared" si="121"/>
        <v>112.24298024513833</v>
      </c>
      <c r="IV21" s="12">
        <f t="shared" si="122"/>
        <v>93.995443220241242</v>
      </c>
      <c r="IW21" s="12">
        <f t="shared" si="123"/>
        <v>68.044207868188934</v>
      </c>
      <c r="IX21" s="12">
        <f t="shared" si="188"/>
        <v>93.458479288267981</v>
      </c>
      <c r="IY21" s="160">
        <f t="shared" si="124"/>
        <v>143.692794747791</v>
      </c>
      <c r="IZ21" s="25">
        <f t="shared" si="125"/>
        <v>84.527762932715049</v>
      </c>
      <c r="JA21" s="25">
        <f t="shared" si="126"/>
        <v>99.677758125471541</v>
      </c>
      <c r="JB21" s="25">
        <f t="shared" si="127"/>
        <v>95.85289930181375</v>
      </c>
      <c r="JC21" s="25">
        <f t="shared" si="128"/>
        <v>130.07619409714499</v>
      </c>
      <c r="JD21" s="25">
        <f t="shared" si="189"/>
        <v>88.173007417103847</v>
      </c>
      <c r="JE21" s="25">
        <f t="shared" si="129"/>
        <v>126.37592903201949</v>
      </c>
      <c r="JF21" s="25">
        <f t="shared" si="130"/>
        <v>117.94497837167745</v>
      </c>
      <c r="JG21" s="25">
        <f t="shared" si="131"/>
        <v>94.452291469723022</v>
      </c>
      <c r="JH21" s="25">
        <f t="shared" si="132"/>
        <v>69.780361724109071</v>
      </c>
      <c r="JI21" s="25">
        <f t="shared" si="190"/>
        <v>100.31266830653105</v>
      </c>
    </row>
    <row r="22" spans="1:269" x14ac:dyDescent="0.35">
      <c r="A22" s="109">
        <v>2007</v>
      </c>
      <c r="B22" s="110">
        <v>784892000000</v>
      </c>
      <c r="C22" s="111">
        <v>83.5</v>
      </c>
      <c r="D22" s="112">
        <f t="shared" si="133"/>
        <v>0.83499999999999996</v>
      </c>
      <c r="E22" s="111">
        <f t="shared" si="134"/>
        <v>9399904191.616766</v>
      </c>
      <c r="F22" s="113">
        <f t="shared" si="135"/>
        <v>939990419161.67664</v>
      </c>
      <c r="G22" s="114">
        <v>54556000000</v>
      </c>
      <c r="H22" s="110">
        <v>11591000000</v>
      </c>
      <c r="I22" s="110">
        <v>263279000000</v>
      </c>
      <c r="J22" s="110">
        <v>91630000000</v>
      </c>
      <c r="K22" s="112">
        <v>78</v>
      </c>
      <c r="L22" s="112">
        <f t="shared" si="136"/>
        <v>0.78</v>
      </c>
      <c r="M22" s="112">
        <f t="shared" si="137"/>
        <v>699435897.43589747</v>
      </c>
      <c r="N22" s="112">
        <f t="shared" si="138"/>
        <v>3375371794.8717947</v>
      </c>
      <c r="O22" s="112">
        <f t="shared" si="139"/>
        <v>3375371794.8717947</v>
      </c>
      <c r="P22" s="112">
        <f t="shared" si="140"/>
        <v>69943589743.589737</v>
      </c>
      <c r="Q22" s="112">
        <f t="shared" si="141"/>
        <v>14860256410.256411</v>
      </c>
      <c r="R22" s="112">
        <f t="shared" si="142"/>
        <v>337537179487.1795</v>
      </c>
      <c r="S22" s="115">
        <f t="shared" si="143"/>
        <v>422341025641.02563</v>
      </c>
      <c r="T22" s="112">
        <f t="shared" si="144"/>
        <v>1174743589.7435896</v>
      </c>
      <c r="U22" s="115">
        <f t="shared" si="145"/>
        <v>117474358974.35896</v>
      </c>
      <c r="V22" s="116">
        <f t="shared" si="146"/>
        <v>1479805803777.061</v>
      </c>
      <c r="W22" s="117">
        <f t="shared" si="147"/>
        <v>1205948000000</v>
      </c>
      <c r="X22" s="112">
        <v>75.716424999999987</v>
      </c>
      <c r="Y22" s="112">
        <f t="shared" si="148"/>
        <v>0.75716424999999987</v>
      </c>
      <c r="Z22" s="112">
        <f t="shared" si="149"/>
        <v>1592716507679.8069</v>
      </c>
      <c r="AA22" s="115">
        <v>0.28000000000000003</v>
      </c>
      <c r="AB22" s="115">
        <v>0.32700000000000001</v>
      </c>
      <c r="AC22" s="115">
        <f t="shared" si="150"/>
        <v>0.60699999999999998</v>
      </c>
      <c r="AD22" s="118">
        <v>0.27538975512530173</v>
      </c>
      <c r="AE22" s="115">
        <f t="shared" si="151"/>
        <v>0.88238975512530171</v>
      </c>
      <c r="AF22" s="115">
        <f t="shared" si="152"/>
        <v>0.11761024487469829</v>
      </c>
      <c r="AG22" s="119">
        <v>0.27480110427274668</v>
      </c>
      <c r="AH22" s="119">
        <v>0.32378457157974944</v>
      </c>
      <c r="AI22" s="119">
        <f t="shared" si="153"/>
        <v>0.59858567585249611</v>
      </c>
      <c r="AJ22" s="16">
        <v>2954000</v>
      </c>
      <c r="AK22" s="120">
        <v>23320000</v>
      </c>
      <c r="AL22" s="121">
        <f t="shared" si="154"/>
        <v>26274000</v>
      </c>
      <c r="AM22" s="122">
        <v>0.1663964</v>
      </c>
      <c r="AN22" s="123">
        <f t="shared" si="191"/>
        <v>3880364.048</v>
      </c>
      <c r="AO22" s="124">
        <v>0.83058514519188675</v>
      </c>
      <c r="AP22" s="123">
        <f t="shared" si="155"/>
        <v>19369245.5858748</v>
      </c>
      <c r="AQ22" s="125">
        <v>0.4892996</v>
      </c>
      <c r="AR22" s="123">
        <f t="shared" si="156"/>
        <v>9477364.1174703054</v>
      </c>
      <c r="AS22" s="123">
        <f t="shared" si="157"/>
        <v>9891881.4684044942</v>
      </c>
      <c r="AT22" s="115">
        <f t="shared" si="0"/>
        <v>534.06061112275154</v>
      </c>
      <c r="AU22" s="126">
        <v>0.65691999999999995</v>
      </c>
      <c r="AV22" s="123">
        <f t="shared" si="1"/>
        <v>2549088.7504121596</v>
      </c>
      <c r="AW22" s="123">
        <f t="shared" si="158"/>
        <v>1331275.2975878401</v>
      </c>
      <c r="AX22" s="127">
        <f t="shared" si="159"/>
        <v>12026452.867882464</v>
      </c>
      <c r="AY22" s="127">
        <f t="shared" si="159"/>
        <v>11223156.765992334</v>
      </c>
      <c r="AZ22" s="16">
        <f t="shared" si="2"/>
        <v>70791130584.264954</v>
      </c>
      <c r="BA22" s="16">
        <f t="shared" si="3"/>
        <v>46683228390.094009</v>
      </c>
      <c r="BB22" s="16">
        <f t="shared" si="4"/>
        <v>263197317365.26947</v>
      </c>
      <c r="BC22" s="16">
        <f t="shared" si="5"/>
        <v>307376867065.86829</v>
      </c>
      <c r="BD22" s="17">
        <f t="shared" si="6"/>
        <v>258863731353.06384</v>
      </c>
      <c r="BE22" s="16">
        <f t="shared" si="160"/>
        <v>829437915784.20154</v>
      </c>
      <c r="BF22" s="117">
        <v>939990419161.67664</v>
      </c>
      <c r="BG22" s="116">
        <f t="shared" si="161"/>
        <v>0.88238975512530171</v>
      </c>
      <c r="BH22" s="115">
        <v>0.88238975512530171</v>
      </c>
      <c r="BI22" s="17">
        <v>40083572.708955623</v>
      </c>
      <c r="BJ22" s="7">
        <f t="shared" si="162"/>
        <v>829437915784.20154</v>
      </c>
      <c r="BK22" s="16">
        <f t="shared" si="163"/>
        <v>333988447949.53442</v>
      </c>
      <c r="BL22" s="112">
        <f t="shared" si="7"/>
        <v>35776.448929043036</v>
      </c>
      <c r="BM22" s="112">
        <f t="shared" si="8"/>
        <v>31568.772009751145</v>
      </c>
      <c r="BN22" s="115">
        <f t="shared" si="9"/>
        <v>27771.151778383082</v>
      </c>
      <c r="BO22" s="112">
        <f t="shared" si="164"/>
        <v>688.00863325082764</v>
      </c>
      <c r="BP22" s="112">
        <f t="shared" si="164"/>
        <v>607.09176941829128</v>
      </c>
      <c r="BQ22" s="115">
        <f t="shared" si="164"/>
        <v>534.06061112275154</v>
      </c>
      <c r="BR22" s="112">
        <f t="shared" si="10"/>
        <v>539815384615.3844</v>
      </c>
      <c r="BS22" s="115">
        <f t="shared" si="11"/>
        <v>1145817355827.5266</v>
      </c>
      <c r="BT22" s="112">
        <f t="shared" si="12"/>
        <v>539815384615.38458</v>
      </c>
      <c r="BU22" s="115">
        <f t="shared" si="13"/>
        <v>776401121096.98792</v>
      </c>
      <c r="BV22" s="118">
        <f t="shared" si="14"/>
        <v>1035264852450.0518</v>
      </c>
      <c r="BW22" s="112">
        <f t="shared" si="15"/>
        <v>56322.05997476825</v>
      </c>
      <c r="BX22" s="115">
        <f t="shared" si="16"/>
        <v>123045.90722082256</v>
      </c>
      <c r="BY22" s="128">
        <f t="shared" si="17"/>
        <v>1347852595666.5898</v>
      </c>
      <c r="BZ22" s="119">
        <f t="shared" si="18"/>
        <v>1385999286182.7517</v>
      </c>
      <c r="CA22" s="113">
        <v>37.200000000000003</v>
      </c>
      <c r="CB22" s="113">
        <v>15.6</v>
      </c>
      <c r="CC22" s="113">
        <v>9.5</v>
      </c>
      <c r="CD22" s="113">
        <v>18935379.292203773</v>
      </c>
      <c r="CE22" s="113">
        <v>6379894.8400009386</v>
      </c>
      <c r="CF22" s="113">
        <v>1101578.1957248568</v>
      </c>
      <c r="CG22" s="113">
        <f t="shared" si="165"/>
        <v>26416852.327929568</v>
      </c>
      <c r="CH22" s="113">
        <v>26274000</v>
      </c>
      <c r="CI22" s="113">
        <f t="shared" si="166"/>
        <v>-142852.32792956755</v>
      </c>
      <c r="CJ22" s="122">
        <f t="shared" si="167"/>
        <v>0.71679165470384565</v>
      </c>
      <c r="CK22" s="122">
        <f t="shared" si="168"/>
        <v>0.24150851739651474</v>
      </c>
      <c r="CL22" s="122">
        <f t="shared" si="169"/>
        <v>4.1699827899639601E-2</v>
      </c>
      <c r="CM22" s="129">
        <f t="shared" si="19"/>
        <v>30.828330791415265</v>
      </c>
      <c r="CN22" s="16">
        <v>940853047.98507082</v>
      </c>
      <c r="CO22" s="16">
        <f t="shared" si="20"/>
        <v>814387462.0333811</v>
      </c>
      <c r="CP22" s="130">
        <v>31.25</v>
      </c>
      <c r="CQ22" s="131">
        <f t="shared" si="192"/>
        <v>30.40666158283053</v>
      </c>
      <c r="CR22" s="5">
        <v>34.04</v>
      </c>
      <c r="CS22" s="132">
        <v>40.67</v>
      </c>
      <c r="CT22" s="5">
        <f t="shared" si="21"/>
        <v>35.445273741218124</v>
      </c>
      <c r="CU22" s="5">
        <v>32.89</v>
      </c>
      <c r="CV22" s="5">
        <v>41.97</v>
      </c>
      <c r="CW22" s="133"/>
      <c r="CX22" s="134">
        <v>33.76</v>
      </c>
      <c r="CY22" s="5">
        <f t="shared" si="193"/>
        <v>33.400921888052537</v>
      </c>
      <c r="CZ22" s="5">
        <f t="shared" si="170"/>
        <v>36.174754081703732</v>
      </c>
      <c r="DA22" s="5">
        <f t="shared" si="194"/>
        <v>35.786055699323455</v>
      </c>
      <c r="DB22" s="117">
        <f t="shared" si="171"/>
        <v>1881.0872122485941</v>
      </c>
      <c r="DC22" s="135">
        <f t="shared" si="171"/>
        <v>1860.8748963648197</v>
      </c>
      <c r="DD22" s="5">
        <f t="shared" si="22"/>
        <v>1843.1542345433425</v>
      </c>
      <c r="DE22" s="131">
        <f t="shared" si="23"/>
        <v>404447114.70408612</v>
      </c>
      <c r="DF22" s="5">
        <f t="shared" si="24"/>
        <v>322609474.55868918</v>
      </c>
      <c r="DG22" s="131">
        <f t="shared" si="25"/>
        <v>542999419.15220916</v>
      </c>
      <c r="DH22" s="5">
        <f t="shared" si="26"/>
        <v>103671439.47926253</v>
      </c>
      <c r="DI22" s="7">
        <f t="shared" si="195"/>
        <v>950455488.74268389</v>
      </c>
      <c r="DJ22" s="136">
        <f t="shared" si="172"/>
        <v>1339356347.0312128</v>
      </c>
      <c r="DK22" s="16">
        <f t="shared" si="27"/>
        <v>426280914.03795171</v>
      </c>
      <c r="DL22" s="7">
        <f t="shared" si="196"/>
        <v>49423685414.61956</v>
      </c>
      <c r="DM22" s="136">
        <f t="shared" si="196"/>
        <v>69646530045.623062</v>
      </c>
      <c r="DN22" s="16">
        <f t="shared" si="173"/>
        <v>22166607529.973488</v>
      </c>
      <c r="DO22" s="117">
        <f t="shared" si="197"/>
        <v>1881.0872122485941</v>
      </c>
      <c r="DP22" s="135">
        <f t="shared" si="198"/>
        <v>1860.8748963648195</v>
      </c>
      <c r="DQ22" s="5">
        <f t="shared" si="28"/>
        <v>1843.1542345433425</v>
      </c>
      <c r="DR22" s="117">
        <f t="shared" si="29"/>
        <v>29.941227396598261</v>
      </c>
      <c r="DS22" s="135">
        <f t="shared" si="199"/>
        <v>21.247373025012028</v>
      </c>
      <c r="DT22" s="5">
        <f t="shared" si="30"/>
        <v>66.758334660641282</v>
      </c>
      <c r="DU22" s="137">
        <f t="shared" si="31"/>
        <v>26.419832310635314</v>
      </c>
      <c r="DV22" s="138">
        <f t="shared" si="32"/>
        <v>50.092896152244471</v>
      </c>
      <c r="DW22" s="130">
        <f t="shared" si="33"/>
        <v>61.770990375865786</v>
      </c>
      <c r="DX22" s="137">
        <v>27.271389908691312</v>
      </c>
      <c r="DY22" s="138">
        <v>62.52645039655328</v>
      </c>
      <c r="DZ22" s="137">
        <f t="shared" si="34"/>
        <v>29.941227396598261</v>
      </c>
      <c r="EA22" s="138">
        <v>47.022633559735638</v>
      </c>
      <c r="EB22" s="130">
        <v>57.886736160750239</v>
      </c>
      <c r="EC22" s="139">
        <f t="shared" si="35"/>
        <v>0.5742775390166367</v>
      </c>
      <c r="ED22" s="140">
        <f t="shared" si="36"/>
        <v>3.4307095435847512</v>
      </c>
      <c r="EE22" s="139">
        <f t="shared" si="37"/>
        <v>0.57427753901663681</v>
      </c>
      <c r="EF22" s="141">
        <f t="shared" si="38"/>
        <v>3.0997025759599928</v>
      </c>
      <c r="EG22" s="142">
        <f t="shared" si="39"/>
        <v>2.3246346568678384</v>
      </c>
      <c r="EH22" s="117">
        <f t="shared" si="40"/>
        <v>22.978638254789608</v>
      </c>
      <c r="EI22" s="117">
        <f t="shared" si="41"/>
        <v>13.196115826914124</v>
      </c>
      <c r="EJ22" s="135">
        <f t="shared" si="42"/>
        <v>8.7289394867733137</v>
      </c>
      <c r="EK22" s="135">
        <f t="shared" si="43"/>
        <v>27.057116212550142</v>
      </c>
      <c r="EL22" s="143">
        <f t="shared" si="44"/>
        <v>10.66140415398646</v>
      </c>
      <c r="EM22" s="143">
        <f t="shared" si="45"/>
        <v>24.783869587231663</v>
      </c>
      <c r="EN22" s="144">
        <f t="shared" si="46"/>
        <v>23.629886775388261</v>
      </c>
      <c r="EO22" s="145">
        <f t="shared" si="47"/>
        <v>13.570113224611742</v>
      </c>
      <c r="EP22" s="146">
        <f t="shared" si="48"/>
        <v>10.66140415398646</v>
      </c>
      <c r="EQ22" s="134">
        <f t="shared" si="49"/>
        <v>24.783869587231663</v>
      </c>
      <c r="ER22" s="130">
        <f t="shared" si="50"/>
        <v>8.645815906027817</v>
      </c>
      <c r="ES22" s="130">
        <f t="shared" si="51"/>
        <v>26.799457835190307</v>
      </c>
      <c r="ET22" s="117">
        <f t="shared" si="200"/>
        <v>11.654754081703732</v>
      </c>
      <c r="EU22" s="135">
        <f t="shared" si="201"/>
        <v>26.296055699323453</v>
      </c>
      <c r="EV22" s="5">
        <f t="shared" si="52"/>
        <v>23.835273741218124</v>
      </c>
      <c r="EW22" s="145">
        <f t="shared" si="53"/>
        <v>12.740000000000002</v>
      </c>
      <c r="EX22" s="134">
        <f t="shared" si="54"/>
        <v>23.779273741218123</v>
      </c>
      <c r="EY22" s="130">
        <f t="shared" si="55"/>
        <v>25.975273741218125</v>
      </c>
      <c r="EZ22" s="117">
        <f t="shared" si="202"/>
        <v>47.531623497976071</v>
      </c>
      <c r="FA22" s="135">
        <f t="shared" si="203"/>
        <v>277.09226237432512</v>
      </c>
      <c r="FB22" s="5">
        <f t="shared" si="174"/>
        <v>205.29951542823537</v>
      </c>
      <c r="FC22" s="145">
        <f t="shared" si="56"/>
        <v>52.085036794766971</v>
      </c>
      <c r="FD22" s="134">
        <f t="shared" si="57"/>
        <v>203.83399401009879</v>
      </c>
      <c r="FE22" s="130">
        <f t="shared" si="58"/>
        <v>274.29011342363384</v>
      </c>
      <c r="FF22" s="117">
        <f t="shared" si="59"/>
        <v>16.782194788307979</v>
      </c>
      <c r="FG22" s="135">
        <f t="shared" si="175"/>
        <v>19.225606728819645</v>
      </c>
      <c r="FH22" s="5">
        <f t="shared" si="60"/>
        <v>15.067188224355858</v>
      </c>
      <c r="FI22" s="145">
        <f t="shared" si="61"/>
        <v>16.782194788307979</v>
      </c>
      <c r="FJ22" s="134">
        <f t="shared" si="62"/>
        <v>15.067188224355858</v>
      </c>
      <c r="FK22" s="145">
        <f t="shared" si="63"/>
        <v>19.019027239187363</v>
      </c>
      <c r="FL22" s="134">
        <f t="shared" si="64"/>
        <v>15.067188224355858</v>
      </c>
      <c r="FM22" s="130">
        <v>14.016968491922434</v>
      </c>
      <c r="FN22" s="111">
        <v>81.8</v>
      </c>
      <c r="FO22" s="147">
        <f t="shared" si="65"/>
        <v>2.7320189288330115</v>
      </c>
      <c r="FP22" s="148">
        <f t="shared" si="66"/>
        <v>3.8498876968793505</v>
      </c>
      <c r="FQ22" s="149">
        <f t="shared" si="67"/>
        <v>1.2253151672494735</v>
      </c>
      <c r="FR22" s="150">
        <f t="shared" si="68"/>
        <v>3.3398764411161512E-2</v>
      </c>
      <c r="FS22" s="151">
        <f t="shared" si="68"/>
        <v>4.7064641771141211E-2</v>
      </c>
      <c r="FT22" s="122">
        <f t="shared" si="68"/>
        <v>1.4979403022609701E-2</v>
      </c>
      <c r="FU22" s="152">
        <f t="shared" si="69"/>
        <v>1.2424340360952082</v>
      </c>
      <c r="FV22" s="140">
        <f t="shared" si="70"/>
        <v>0.70759082552327046</v>
      </c>
      <c r="FW22" s="153">
        <f t="shared" si="71"/>
        <v>0.5738174752507571</v>
      </c>
      <c r="FX22" s="152">
        <f t="shared" si="72"/>
        <v>1.5683010276058638</v>
      </c>
      <c r="FY22" s="140">
        <f t="shared" si="73"/>
        <v>0.530949040616431</v>
      </c>
      <c r="FZ22" s="140">
        <f t="shared" si="176"/>
        <v>36.794722927210067</v>
      </c>
      <c r="GA22" s="153">
        <f t="shared" si="176"/>
        <v>29.838508713039371</v>
      </c>
      <c r="GB22" s="152">
        <f t="shared" si="74"/>
        <v>3.7850353788863741E-2</v>
      </c>
      <c r="GC22" s="154">
        <f t="shared" si="75"/>
        <v>1.4979403022609703E-2</v>
      </c>
      <c r="GD22" s="152">
        <f t="shared" si="76"/>
        <v>3.3398764411161505E-2</v>
      </c>
      <c r="GE22" s="154">
        <f t="shared" si="77"/>
        <v>1.9962910448634418E-2</v>
      </c>
      <c r="GF22" s="155">
        <f t="shared" si="78"/>
        <v>1.7401775121971056E-2</v>
      </c>
      <c r="GG22" s="152">
        <f t="shared" si="79"/>
        <v>398.07258628026085</v>
      </c>
      <c r="GH22" s="134">
        <f t="shared" si="80"/>
        <v>35.445273741218124</v>
      </c>
      <c r="GI22" s="130">
        <f t="shared" si="81"/>
        <v>35.445273741218124</v>
      </c>
      <c r="GJ22" s="152">
        <f t="shared" si="82"/>
        <v>1.0322317563580146</v>
      </c>
      <c r="GK22" s="154">
        <f t="shared" si="82"/>
        <v>0.93660890006318587</v>
      </c>
      <c r="GL22" s="152">
        <f t="shared" si="82"/>
        <v>0.99999999999999989</v>
      </c>
      <c r="GM22" s="154">
        <f t="shared" si="82"/>
        <v>0.938708622811954</v>
      </c>
      <c r="GN22" s="154">
        <f t="shared" si="82"/>
        <v>1.0073319652142458</v>
      </c>
      <c r="GO22" s="112">
        <f t="shared" si="177"/>
        <v>0.56050457003692067</v>
      </c>
      <c r="GP22" s="156">
        <f t="shared" si="177"/>
        <v>0.90484629352473855</v>
      </c>
      <c r="GQ22" s="115">
        <f t="shared" si="177"/>
        <v>0.22569748483014543</v>
      </c>
      <c r="GR22" s="117">
        <f t="shared" si="204"/>
        <v>424.55665255065765</v>
      </c>
      <c r="GS22" s="135">
        <f t="shared" si="178"/>
        <v>1683.8057526889388</v>
      </c>
      <c r="GT22" s="5">
        <f t="shared" si="178"/>
        <v>415.99527489046432</v>
      </c>
      <c r="GU22" s="130">
        <f t="shared" si="83"/>
        <v>449.5824271134465</v>
      </c>
      <c r="GV22" s="145">
        <f t="shared" si="84"/>
        <v>1054.357979103348</v>
      </c>
      <c r="GW22" s="134">
        <f t="shared" si="85"/>
        <v>444.1504611608969</v>
      </c>
      <c r="GX22" s="157">
        <f t="shared" si="179"/>
        <v>0.6352120100910823</v>
      </c>
      <c r="GY22" s="154">
        <f t="shared" si="86"/>
        <v>0.22569748483014546</v>
      </c>
      <c r="GZ22" s="157">
        <f t="shared" si="86"/>
        <v>0.63521201009108219</v>
      </c>
      <c r="HA22" s="154">
        <f t="shared" si="86"/>
        <v>0.30078492923553501</v>
      </c>
      <c r="HB22" s="155">
        <f t="shared" si="86"/>
        <v>0.24392013358818795</v>
      </c>
      <c r="HC22" s="157">
        <f t="shared" si="87"/>
        <v>0.61537731829940734</v>
      </c>
      <c r="HD22" s="154">
        <f t="shared" si="88"/>
        <v>0.2409730302743433</v>
      </c>
      <c r="HE22" s="144">
        <v>81.8</v>
      </c>
      <c r="HF22" s="146"/>
      <c r="HG22" s="158">
        <f t="shared" si="89"/>
        <v>138.85636409720627</v>
      </c>
      <c r="HH22" s="2">
        <f t="shared" si="90"/>
        <v>93.943737754659068</v>
      </c>
      <c r="HI22" s="2">
        <f t="shared" si="91"/>
        <v>96.745717206115273</v>
      </c>
      <c r="HJ22" s="2">
        <f t="shared" si="92"/>
        <v>97.637795275590548</v>
      </c>
      <c r="HK22" s="2">
        <f t="shared" si="93"/>
        <v>143.23558434385779</v>
      </c>
      <c r="HL22" s="2">
        <f t="shared" si="180"/>
        <v>98.942680699545519</v>
      </c>
      <c r="HM22" s="2">
        <f t="shared" si="94"/>
        <v>156.40442486773512</v>
      </c>
      <c r="HN22" s="2">
        <f t="shared" si="95"/>
        <v>102.98910331892121</v>
      </c>
      <c r="HO22" s="2">
        <f t="shared" si="181"/>
        <v>85.445411156185713</v>
      </c>
      <c r="HP22" s="2">
        <f t="shared" si="96"/>
        <v>85.699643302268314</v>
      </c>
      <c r="HQ22" s="2">
        <f t="shared" si="182"/>
        <v>87.850258841182864</v>
      </c>
      <c r="HR22" s="159">
        <f t="shared" si="97"/>
        <v>140.1938349698504</v>
      </c>
      <c r="HS22" s="12">
        <f t="shared" si="98"/>
        <v>124.4037824269132</v>
      </c>
      <c r="HT22" s="12">
        <f t="shared" si="99"/>
        <v>85.638802996653979</v>
      </c>
      <c r="HU22" s="12">
        <f t="shared" si="100"/>
        <v>94.495531168270134</v>
      </c>
      <c r="HV22" s="12">
        <f t="shared" si="101"/>
        <v>139.79662512818439</v>
      </c>
      <c r="HW22" s="12">
        <f t="shared" si="183"/>
        <v>98.816762184827255</v>
      </c>
      <c r="HX22" s="12">
        <f t="shared" si="102"/>
        <v>148.00774287186502</v>
      </c>
      <c r="HY22" s="12">
        <f t="shared" si="103"/>
        <v>101.52851809629753</v>
      </c>
      <c r="HZ22" s="12">
        <f t="shared" si="104"/>
        <v>82.361001179053645</v>
      </c>
      <c r="IA22" s="12">
        <f t="shared" si="105"/>
        <v>87.298031294490855</v>
      </c>
      <c r="IB22" s="12">
        <f t="shared" si="184"/>
        <v>93.660890006318581</v>
      </c>
      <c r="IC22" s="158">
        <f t="shared" si="106"/>
        <v>152.45024132687504</v>
      </c>
      <c r="ID22" s="2">
        <f t="shared" si="107"/>
        <v>96.602292528466791</v>
      </c>
      <c r="IE22" s="2">
        <f t="shared" si="108"/>
        <v>99.487633611523023</v>
      </c>
      <c r="IF22" s="2">
        <f t="shared" si="109"/>
        <v>97.637795275590548</v>
      </c>
      <c r="IG22" s="2">
        <f t="shared" si="110"/>
        <v>148.50591224116957</v>
      </c>
      <c r="IH22" s="2">
        <f t="shared" si="185"/>
        <v>98.942680699545519</v>
      </c>
      <c r="II22" s="2">
        <f t="shared" si="111"/>
        <v>150.82495828062937</v>
      </c>
      <c r="IJ22" s="2">
        <f t="shared" si="112"/>
        <v>102.98910331892124</v>
      </c>
      <c r="IK22" s="2">
        <f t="shared" si="113"/>
        <v>93.401759530791793</v>
      </c>
      <c r="IL22" s="2">
        <f t="shared" si="114"/>
        <v>65.590660666067365</v>
      </c>
      <c r="IM22" s="2">
        <f t="shared" si="186"/>
        <v>99.999999999999986</v>
      </c>
      <c r="IN22" s="159">
        <f t="shared" si="115"/>
        <v>143.58056048774242</v>
      </c>
      <c r="IO22" s="12">
        <f t="shared" si="116"/>
        <v>91.388686387677524</v>
      </c>
      <c r="IP22" s="12">
        <f t="shared" si="117"/>
        <v>95.912808000122538</v>
      </c>
      <c r="IQ22" s="12">
        <f t="shared" si="118"/>
        <v>94.495531168270134</v>
      </c>
      <c r="IR22" s="12">
        <f t="shared" si="119"/>
        <v>139.79662512818439</v>
      </c>
      <c r="IS22" s="12">
        <f t="shared" si="187"/>
        <v>96.715411329754019</v>
      </c>
      <c r="IT22" s="12">
        <f t="shared" si="120"/>
        <v>148.00774287186502</v>
      </c>
      <c r="IU22" s="12">
        <f t="shared" si="121"/>
        <v>104.94301294129664</v>
      </c>
      <c r="IV22" s="12">
        <f t="shared" si="122"/>
        <v>92.025053178088712</v>
      </c>
      <c r="IW22" s="12">
        <f t="shared" si="123"/>
        <v>65.452165405358755</v>
      </c>
      <c r="IX22" s="12">
        <f t="shared" si="188"/>
        <v>93.8708622811954</v>
      </c>
      <c r="IY22" s="160">
        <f t="shared" si="124"/>
        <v>143.49711492501299</v>
      </c>
      <c r="IZ22" s="25">
        <f t="shared" si="125"/>
        <v>91.296894467030796</v>
      </c>
      <c r="JA22" s="25">
        <f t="shared" si="126"/>
        <v>95.575812536342042</v>
      </c>
      <c r="JB22" s="25">
        <f t="shared" si="127"/>
        <v>94.495531168270134</v>
      </c>
      <c r="JC22" s="25">
        <f t="shared" si="128"/>
        <v>139.79662512818439</v>
      </c>
      <c r="JD22" s="25">
        <f t="shared" si="189"/>
        <v>96.602033104232859</v>
      </c>
      <c r="JE22" s="25">
        <f t="shared" si="129"/>
        <v>137.69124255326557</v>
      </c>
      <c r="JF22" s="25">
        <f t="shared" si="130"/>
        <v>104.7062396030237</v>
      </c>
      <c r="JG22" s="25">
        <f t="shared" si="131"/>
        <v>92.636496937297167</v>
      </c>
      <c r="JH22" s="25">
        <f t="shared" si="132"/>
        <v>70.168448072463946</v>
      </c>
      <c r="JI22" s="25">
        <f t="shared" si="190"/>
        <v>100.73319652142459</v>
      </c>
    </row>
    <row r="23" spans="1:269" x14ac:dyDescent="0.35">
      <c r="A23" s="109">
        <v>2008</v>
      </c>
      <c r="B23" s="110">
        <v>796088000000</v>
      </c>
      <c r="C23" s="111">
        <v>84.9</v>
      </c>
      <c r="D23" s="112">
        <f t="shared" si="133"/>
        <v>0.84900000000000009</v>
      </c>
      <c r="E23" s="111">
        <f t="shared" si="134"/>
        <v>9376772673.7338047</v>
      </c>
      <c r="F23" s="113">
        <f t="shared" si="135"/>
        <v>937677267373.38037</v>
      </c>
      <c r="G23" s="114">
        <v>49807000000</v>
      </c>
      <c r="H23" s="110">
        <v>11676000000</v>
      </c>
      <c r="I23" s="110">
        <v>289476000000</v>
      </c>
      <c r="J23" s="110">
        <v>94860000000</v>
      </c>
      <c r="K23" s="112">
        <v>83.1</v>
      </c>
      <c r="L23" s="112">
        <f t="shared" si="136"/>
        <v>0.83099999999999996</v>
      </c>
      <c r="M23" s="112">
        <f t="shared" si="137"/>
        <v>599362214.19975936</v>
      </c>
      <c r="N23" s="112">
        <f t="shared" si="138"/>
        <v>3483465703.9711194</v>
      </c>
      <c r="O23" s="112">
        <f t="shared" si="139"/>
        <v>3483465703.9711194</v>
      </c>
      <c r="P23" s="112">
        <f t="shared" si="140"/>
        <v>59936221419.975937</v>
      </c>
      <c r="Q23" s="112">
        <f t="shared" si="141"/>
        <v>14050541516.245487</v>
      </c>
      <c r="R23" s="112">
        <f t="shared" si="142"/>
        <v>348346570397.11194</v>
      </c>
      <c r="S23" s="115">
        <f t="shared" si="143"/>
        <v>422333333333.33337</v>
      </c>
      <c r="T23" s="112">
        <f t="shared" si="144"/>
        <v>1141516245.4873648</v>
      </c>
      <c r="U23" s="115">
        <f t="shared" si="145"/>
        <v>114151624548.73647</v>
      </c>
      <c r="V23" s="116">
        <f t="shared" si="146"/>
        <v>1474162225255.4504</v>
      </c>
      <c r="W23" s="117">
        <f t="shared" si="147"/>
        <v>1241907000000</v>
      </c>
      <c r="X23" s="112">
        <v>78.176349999999999</v>
      </c>
      <c r="Y23" s="112">
        <f t="shared" si="148"/>
        <v>0.78176349999999994</v>
      </c>
      <c r="Z23" s="112">
        <f t="shared" si="149"/>
        <v>1588596807090.6355</v>
      </c>
      <c r="AA23" s="115">
        <v>0.26300000000000001</v>
      </c>
      <c r="AB23" s="115">
        <v>0.33500000000000002</v>
      </c>
      <c r="AC23" s="115">
        <f t="shared" si="150"/>
        <v>0.59800000000000009</v>
      </c>
      <c r="AD23" s="118">
        <v>0.27882564064978599</v>
      </c>
      <c r="AE23" s="115">
        <f t="shared" si="151"/>
        <v>0.87682564064978608</v>
      </c>
      <c r="AF23" s="115">
        <f t="shared" si="152"/>
        <v>0.12317435935021392</v>
      </c>
      <c r="AG23" s="119">
        <v>0.25976156985535104</v>
      </c>
      <c r="AH23" s="119">
        <v>0.33130949453841407</v>
      </c>
      <c r="AI23" s="119">
        <f t="shared" si="153"/>
        <v>0.59107106439376511</v>
      </c>
      <c r="AJ23" s="16">
        <v>2933000</v>
      </c>
      <c r="AK23" s="120">
        <v>23675000</v>
      </c>
      <c r="AL23" s="121">
        <f t="shared" si="154"/>
        <v>26608000</v>
      </c>
      <c r="AM23" s="122">
        <v>0.16549539999999996</v>
      </c>
      <c r="AN23" s="123">
        <f t="shared" si="191"/>
        <v>3918103.5949999988</v>
      </c>
      <c r="AO23" s="124">
        <v>0.83147071971390252</v>
      </c>
      <c r="AP23" s="123">
        <f t="shared" si="155"/>
        <v>19685069.289226644</v>
      </c>
      <c r="AQ23" s="125">
        <v>0.47724080000000002</v>
      </c>
      <c r="AR23" s="123">
        <f t="shared" si="156"/>
        <v>9394518.2156459559</v>
      </c>
      <c r="AS23" s="123">
        <f t="shared" si="157"/>
        <v>10290551.073580688</v>
      </c>
      <c r="AT23" s="115">
        <f t="shared" si="0"/>
        <v>504.81387053931019</v>
      </c>
      <c r="AU23" s="126">
        <v>0.64408489999999996</v>
      </c>
      <c r="AV23" s="123">
        <f t="shared" si="1"/>
        <v>2523591.3621752146</v>
      </c>
      <c r="AW23" s="123">
        <f t="shared" si="158"/>
        <v>1394512.2328247842</v>
      </c>
      <c r="AX23" s="127">
        <f t="shared" si="159"/>
        <v>11918109.577821171</v>
      </c>
      <c r="AY23" s="127">
        <f t="shared" si="159"/>
        <v>11685063.306405472</v>
      </c>
      <c r="AZ23" s="16">
        <f t="shared" si="2"/>
        <v>66245084006.360489</v>
      </c>
      <c r="BA23" s="16">
        <f t="shared" si="3"/>
        <v>47906540542.375977</v>
      </c>
      <c r="BB23" s="16">
        <f t="shared" si="4"/>
        <v>246609121319.19904</v>
      </c>
      <c r="BC23" s="16">
        <f t="shared" si="5"/>
        <v>314121884570.08246</v>
      </c>
      <c r="BD23" s="17">
        <f t="shared" si="6"/>
        <v>261448464798.12344</v>
      </c>
      <c r="BE23" s="16">
        <f t="shared" si="160"/>
        <v>822179470687.40491</v>
      </c>
      <c r="BF23" s="117">
        <v>937677267373.38037</v>
      </c>
      <c r="BG23" s="116">
        <f t="shared" si="161"/>
        <v>0.87682564064978596</v>
      </c>
      <c r="BH23" s="115">
        <v>0.87682564064978608</v>
      </c>
      <c r="BI23" s="17">
        <v>41092572.376105957</v>
      </c>
      <c r="BJ23" s="7">
        <f t="shared" si="162"/>
        <v>822179470687.40503</v>
      </c>
      <c r="BK23" s="16">
        <f t="shared" si="163"/>
        <v>312854205325.55951</v>
      </c>
      <c r="BL23" s="112">
        <f t="shared" si="7"/>
        <v>35240.426464724158</v>
      </c>
      <c r="BM23" s="112">
        <f t="shared" si="8"/>
        <v>30899.709511703437</v>
      </c>
      <c r="BN23" s="115">
        <f t="shared" si="9"/>
        <v>26250.321268044128</v>
      </c>
      <c r="BO23" s="112">
        <f t="shared" si="164"/>
        <v>677.70050893700306</v>
      </c>
      <c r="BP23" s="112">
        <f t="shared" si="164"/>
        <v>594.22518291737379</v>
      </c>
      <c r="BQ23" s="115">
        <f t="shared" si="164"/>
        <v>504.81387053931019</v>
      </c>
      <c r="BR23" s="112">
        <f t="shared" si="10"/>
        <v>536484957882.07007</v>
      </c>
      <c r="BS23" s="115">
        <f t="shared" si="11"/>
        <v>1161308019929.8909</v>
      </c>
      <c r="BT23" s="112">
        <f t="shared" si="12"/>
        <v>536484957882.06982</v>
      </c>
      <c r="BU23" s="115">
        <f t="shared" si="13"/>
        <v>784361758445.79175</v>
      </c>
      <c r="BV23" s="118">
        <f t="shared" si="14"/>
        <v>1045810223243.9152</v>
      </c>
      <c r="BW23" s="112">
        <f t="shared" si="15"/>
        <v>55402.969981037677</v>
      </c>
      <c r="BX23" s="115">
        <f t="shared" si="16"/>
        <v>123690.94407377917</v>
      </c>
      <c r="BY23" s="128">
        <f t="shared" si="17"/>
        <v>1318229469604.7078</v>
      </c>
      <c r="BZ23" s="119">
        <f t="shared" si="18"/>
        <v>1378220531268.3267</v>
      </c>
      <c r="CA23" s="113">
        <v>37.1</v>
      </c>
      <c r="CB23" s="113">
        <v>15.6</v>
      </c>
      <c r="CC23" s="113">
        <v>9.6999999999999993</v>
      </c>
      <c r="CD23" s="113">
        <v>19112677.782885492</v>
      </c>
      <c r="CE23" s="113">
        <v>6468583.6323679751</v>
      </c>
      <c r="CF23" s="113">
        <v>1124913.3532360352</v>
      </c>
      <c r="CG23" s="113">
        <f t="shared" si="165"/>
        <v>26706174.768489502</v>
      </c>
      <c r="CH23" s="113">
        <v>26608000</v>
      </c>
      <c r="CI23" s="113">
        <f t="shared" si="166"/>
        <v>-98174.76848950237</v>
      </c>
      <c r="CJ23" s="122">
        <f t="shared" si="167"/>
        <v>0.71566512046631459</v>
      </c>
      <c r="CK23" s="122">
        <f t="shared" si="168"/>
        <v>0.24221303456757978</v>
      </c>
      <c r="CL23" s="122">
        <f t="shared" si="169"/>
        <v>4.2121844966105576E-2</v>
      </c>
      <c r="CM23" s="129">
        <f t="shared" si="19"/>
        <v>30.738281204725741</v>
      </c>
      <c r="CN23" s="16">
        <v>946416921.66456258</v>
      </c>
      <c r="CO23" s="16">
        <f t="shared" si="20"/>
        <v>820901909.9363817</v>
      </c>
      <c r="CP23" s="130">
        <v>31.55</v>
      </c>
      <c r="CQ23" s="131">
        <f t="shared" si="192"/>
        <v>29.926562409451481</v>
      </c>
      <c r="CR23" s="5">
        <v>33.950000000000003</v>
      </c>
      <c r="CS23" s="132">
        <v>39.08</v>
      </c>
      <c r="CT23" s="5">
        <f t="shared" si="21"/>
        <v>35.03624808350903</v>
      </c>
      <c r="CU23" s="5">
        <v>32.450000000000003</v>
      </c>
      <c r="CV23" s="5">
        <v>40.85</v>
      </c>
      <c r="CW23" s="133"/>
      <c r="CX23" s="134">
        <v>34.03</v>
      </c>
      <c r="CY23" s="5">
        <f t="shared" si="193"/>
        <v>33.070752733486387</v>
      </c>
      <c r="CZ23" s="5">
        <f t="shared" si="170"/>
        <v>35.483958293227197</v>
      </c>
      <c r="DA23" s="5">
        <f t="shared" si="194"/>
        <v>35.182076386098736</v>
      </c>
      <c r="DB23" s="117">
        <f t="shared" si="171"/>
        <v>1845.1658312478141</v>
      </c>
      <c r="DC23" s="135">
        <f t="shared" si="171"/>
        <v>1829.4679720771342</v>
      </c>
      <c r="DD23" s="5">
        <f t="shared" si="22"/>
        <v>1821.8849003424696</v>
      </c>
      <c r="DE23" s="131">
        <f t="shared" si="23"/>
        <v>395863213.24901456</v>
      </c>
      <c r="DF23" s="5">
        <f t="shared" si="24"/>
        <v>318943893.42118025</v>
      </c>
      <c r="DG23" s="131">
        <f t="shared" si="25"/>
        <v>534257586.77625674</v>
      </c>
      <c r="DH23" s="5">
        <f t="shared" si="26"/>
        <v>98621950.433807388</v>
      </c>
      <c r="DI23" s="7">
        <f t="shared" si="195"/>
        <v>944157162.26618922</v>
      </c>
      <c r="DJ23" s="136">
        <f t="shared" si="172"/>
        <v>1344702451.2299404</v>
      </c>
      <c r="DK23" s="16">
        <f t="shared" si="27"/>
        <v>417565843.85498762</v>
      </c>
      <c r="DL23" s="7">
        <f t="shared" si="196"/>
        <v>49096172437.841843</v>
      </c>
      <c r="DM23" s="136">
        <f t="shared" si="196"/>
        <v>69924527463.956909</v>
      </c>
      <c r="DN23" s="16">
        <f t="shared" si="173"/>
        <v>21713423880.459358</v>
      </c>
      <c r="DO23" s="117">
        <f t="shared" si="197"/>
        <v>1845.1658312478144</v>
      </c>
      <c r="DP23" s="135">
        <f t="shared" si="198"/>
        <v>1829.4679720771344</v>
      </c>
      <c r="DQ23" s="5">
        <f t="shared" si="28"/>
        <v>1821.8849003424698</v>
      </c>
      <c r="DR23" s="117">
        <f t="shared" si="29"/>
        <v>30.026011235841491</v>
      </c>
      <c r="DS23" s="135">
        <f t="shared" si="199"/>
        <v>21.082190737939815</v>
      </c>
      <c r="DT23" s="5">
        <f t="shared" si="30"/>
        <v>67.89174445132528</v>
      </c>
      <c r="DU23" s="137">
        <f t="shared" si="31"/>
        <v>26.327576538024388</v>
      </c>
      <c r="DV23" s="138">
        <f t="shared" si="32"/>
        <v>50.531688130436805</v>
      </c>
      <c r="DW23" s="130">
        <f t="shared" si="33"/>
        <v>62.572555855282815</v>
      </c>
      <c r="DX23" s="137">
        <v>26.849943776648797</v>
      </c>
      <c r="DY23" s="138">
        <v>63.473201594366415</v>
      </c>
      <c r="DZ23" s="137">
        <f t="shared" si="34"/>
        <v>30.026011235841487</v>
      </c>
      <c r="EA23" s="138">
        <v>47.312896507445174</v>
      </c>
      <c r="EB23" s="130">
        <v>58.521621430223306</v>
      </c>
      <c r="EC23" s="139">
        <f t="shared" si="35"/>
        <v>0.57214243807453136</v>
      </c>
      <c r="ED23" s="140">
        <f t="shared" si="36"/>
        <v>3.7119782958372607</v>
      </c>
      <c r="EE23" s="139">
        <f t="shared" si="37"/>
        <v>0.57214243807453113</v>
      </c>
      <c r="EF23" s="141">
        <f t="shared" si="38"/>
        <v>3.3428037898855592</v>
      </c>
      <c r="EG23" s="142">
        <f t="shared" si="39"/>
        <v>2.5071159188337466</v>
      </c>
      <c r="EH23" s="117">
        <f t="shared" si="40"/>
        <v>22.570447456838508</v>
      </c>
      <c r="EI23" s="117">
        <f t="shared" si="41"/>
        <v>12.913510836388689</v>
      </c>
      <c r="EJ23" s="135">
        <f t="shared" si="42"/>
        <v>8.1012355354479055</v>
      </c>
      <c r="EK23" s="135">
        <f t="shared" si="43"/>
        <v>27.08084085065083</v>
      </c>
      <c r="EL23" s="143">
        <f t="shared" si="44"/>
        <v>9.9900456370315673</v>
      </c>
      <c r="EM23" s="143">
        <f t="shared" si="45"/>
        <v>25.046202446477462</v>
      </c>
      <c r="EN23" s="144">
        <f t="shared" si="46"/>
        <v>23.598370670177903</v>
      </c>
      <c r="EO23" s="145">
        <f t="shared" si="47"/>
        <v>13.501629329822098</v>
      </c>
      <c r="EP23" s="146">
        <f t="shared" si="48"/>
        <v>9.9900456370315673</v>
      </c>
      <c r="EQ23" s="134">
        <f t="shared" si="49"/>
        <v>25.046202446477462</v>
      </c>
      <c r="ER23" s="130">
        <f t="shared" si="50"/>
        <v>8.0676562374539831</v>
      </c>
      <c r="ES23" s="130">
        <f t="shared" si="51"/>
        <v>26.968591846055048</v>
      </c>
      <c r="ET23" s="117">
        <f t="shared" si="200"/>
        <v>10.963958293227197</v>
      </c>
      <c r="EU23" s="135">
        <f t="shared" si="201"/>
        <v>25.692076386098734</v>
      </c>
      <c r="EV23" s="5">
        <f t="shared" si="52"/>
        <v>23.42624808350903</v>
      </c>
      <c r="EW23" s="145">
        <f t="shared" si="53"/>
        <v>12.64</v>
      </c>
      <c r="EX23" s="134">
        <f t="shared" si="54"/>
        <v>23.370248083509029</v>
      </c>
      <c r="EY23" s="130">
        <f t="shared" si="55"/>
        <v>25.566248083509031</v>
      </c>
      <c r="EZ23" s="117">
        <f t="shared" si="202"/>
        <v>44.71434866732136</v>
      </c>
      <c r="FA23" s="135">
        <f t="shared" si="203"/>
        <v>270.72788604951245</v>
      </c>
      <c r="FB23" s="5">
        <f t="shared" si="174"/>
        <v>201.7764692808702</v>
      </c>
      <c r="FC23" s="145">
        <f t="shared" si="56"/>
        <v>51.676206050695015</v>
      </c>
      <c r="FD23" s="134">
        <f t="shared" si="57"/>
        <v>200.32785945061744</v>
      </c>
      <c r="FE23" s="130">
        <f t="shared" si="58"/>
        <v>269.97094069175319</v>
      </c>
      <c r="FF23" s="117">
        <f t="shared" si="59"/>
        <v>16.746304851530422</v>
      </c>
      <c r="FG23" s="135">
        <f t="shared" si="175"/>
        <v>19.262663792202396</v>
      </c>
      <c r="FH23" s="5">
        <f t="shared" si="60"/>
        <v>14.408331318355902</v>
      </c>
      <c r="FI23" s="145">
        <f t="shared" si="61"/>
        <v>16.746304851530418</v>
      </c>
      <c r="FJ23" s="134">
        <f t="shared" si="62"/>
        <v>14.408331318355902</v>
      </c>
      <c r="FK23" s="145">
        <f t="shared" si="63"/>
        <v>19.098785522649973</v>
      </c>
      <c r="FL23" s="134">
        <f t="shared" si="64"/>
        <v>14.408331318355902</v>
      </c>
      <c r="FM23" s="130">
        <v>13.412573415323868</v>
      </c>
      <c r="FN23" s="111">
        <v>84.7</v>
      </c>
      <c r="FO23" s="147">
        <f t="shared" si="65"/>
        <v>2.8208875076585329</v>
      </c>
      <c r="FP23" s="148">
        <f t="shared" si="66"/>
        <v>4.0176090356479257</v>
      </c>
      <c r="FQ23" s="149">
        <f t="shared" si="67"/>
        <v>1.2475743654035187</v>
      </c>
      <c r="FR23" s="150">
        <f t="shared" si="68"/>
        <v>3.3304456997149144E-2</v>
      </c>
      <c r="FS23" s="151">
        <f t="shared" si="68"/>
        <v>4.7433400657000295E-2</v>
      </c>
      <c r="FT23" s="122">
        <f t="shared" si="68"/>
        <v>1.4729331350690895E-2</v>
      </c>
      <c r="FU23" s="152">
        <f t="shared" si="69"/>
        <v>1.2355953545942335</v>
      </c>
      <c r="FV23" s="140">
        <f t="shared" si="70"/>
        <v>0.69335202087589887</v>
      </c>
      <c r="FW23" s="153">
        <f t="shared" si="71"/>
        <v>0.55992995019318881</v>
      </c>
      <c r="FX23" s="152">
        <f t="shared" si="72"/>
        <v>1.637828152946073</v>
      </c>
      <c r="FY23" s="140">
        <f t="shared" si="73"/>
        <v>0.51606050730701325</v>
      </c>
      <c r="FZ23" s="140">
        <f t="shared" si="176"/>
        <v>36.054305085546744</v>
      </c>
      <c r="GA23" s="153">
        <f t="shared" si="176"/>
        <v>29.116357410045818</v>
      </c>
      <c r="GB23" s="152">
        <f t="shared" si="74"/>
        <v>3.7982987099314677E-2</v>
      </c>
      <c r="GC23" s="154">
        <f t="shared" si="75"/>
        <v>1.4729331350690895E-2</v>
      </c>
      <c r="GD23" s="152">
        <f t="shared" si="76"/>
        <v>3.3304456997149151E-2</v>
      </c>
      <c r="GE23" s="154">
        <f t="shared" si="77"/>
        <v>1.9789562490346899E-2</v>
      </c>
      <c r="GF23" s="155">
        <f t="shared" si="78"/>
        <v>1.7167919953438641E-2</v>
      </c>
      <c r="GG23" s="152">
        <f t="shared" si="79"/>
        <v>379.33644556922883</v>
      </c>
      <c r="GH23" s="134">
        <f t="shared" si="80"/>
        <v>35.03624808350903</v>
      </c>
      <c r="GI23" s="130">
        <f t="shared" si="81"/>
        <v>35.03624808350903</v>
      </c>
      <c r="GJ23" s="152">
        <f t="shared" si="82"/>
        <v>1.0198410680857757</v>
      </c>
      <c r="GK23" s="154">
        <f t="shared" si="82"/>
        <v>0.93491781817262454</v>
      </c>
      <c r="GL23" s="152">
        <f t="shared" si="82"/>
        <v>1</v>
      </c>
      <c r="GM23" s="154">
        <f t="shared" si="82"/>
        <v>0.93630152203340178</v>
      </c>
      <c r="GN23" s="154">
        <f t="shared" si="82"/>
        <v>1.004694512259513</v>
      </c>
      <c r="GO23" s="112">
        <f t="shared" si="177"/>
        <v>0.55772658978894507</v>
      </c>
      <c r="GP23" s="156">
        <f t="shared" si="177"/>
        <v>0.913693649376629</v>
      </c>
      <c r="GQ23" s="115">
        <f t="shared" si="177"/>
        <v>0.21222508619860106</v>
      </c>
      <c r="GR23" s="117">
        <f t="shared" si="204"/>
        <v>391.59047758728076</v>
      </c>
      <c r="GS23" s="135">
        <f t="shared" si="178"/>
        <v>1671.5732678248178</v>
      </c>
      <c r="GT23" s="5">
        <f t="shared" si="178"/>
        <v>386.64968001911035</v>
      </c>
      <c r="GU23" s="130">
        <f t="shared" si="83"/>
        <v>419.51812434760706</v>
      </c>
      <c r="GV23" s="145">
        <f t="shared" si="84"/>
        <v>1029.0980466569276</v>
      </c>
      <c r="GW23" s="134">
        <f t="shared" si="85"/>
        <v>413.56541987278587</v>
      </c>
      <c r="GX23" s="157">
        <f t="shared" si="179"/>
        <v>0.63607468113687082</v>
      </c>
      <c r="GY23" s="154">
        <f t="shared" si="86"/>
        <v>0.21222508619860106</v>
      </c>
      <c r="GZ23" s="157">
        <f t="shared" si="86"/>
        <v>0.63607468113687082</v>
      </c>
      <c r="HA23" s="154">
        <f t="shared" si="86"/>
        <v>0.28513457300622647</v>
      </c>
      <c r="HB23" s="155">
        <f t="shared" si="86"/>
        <v>0.23026598676389928</v>
      </c>
      <c r="HC23" s="157">
        <f t="shared" si="87"/>
        <v>0.62369981072714809</v>
      </c>
      <c r="HD23" s="154">
        <f t="shared" si="88"/>
        <v>0.22699865386394372</v>
      </c>
      <c r="HE23" s="144">
        <v>84.7</v>
      </c>
      <c r="HF23" s="146"/>
      <c r="HG23" s="158">
        <f t="shared" si="89"/>
        <v>136.71050802774337</v>
      </c>
      <c r="HH23" s="2">
        <f t="shared" si="90"/>
        <v>92.274928278162335</v>
      </c>
      <c r="HI23" s="2">
        <f t="shared" si="91"/>
        <v>94.673833111354028</v>
      </c>
      <c r="HJ23" s="2">
        <f t="shared" si="92"/>
        <v>97.375328083989501</v>
      </c>
      <c r="HK23" s="2">
        <f t="shared" si="93"/>
        <v>141.08954992187185</v>
      </c>
      <c r="HL23" s="2">
        <f t="shared" si="180"/>
        <v>99.07705313658424</v>
      </c>
      <c r="HM23" s="2">
        <f t="shared" si="94"/>
        <v>156.0699426983264</v>
      </c>
      <c r="HN23" s="2">
        <f t="shared" si="95"/>
        <v>102.60620112166772</v>
      </c>
      <c r="HO23" s="2">
        <f t="shared" si="181"/>
        <v>80.380925903425194</v>
      </c>
      <c r="HP23" s="2">
        <f t="shared" si="96"/>
        <v>88.487327320760784</v>
      </c>
      <c r="HQ23" s="2">
        <f t="shared" si="182"/>
        <v>86.795723204944352</v>
      </c>
      <c r="HR23" s="159">
        <f t="shared" si="97"/>
        <v>142.3165955030637</v>
      </c>
      <c r="HS23" s="12">
        <f t="shared" si="98"/>
        <v>116.56996075882809</v>
      </c>
      <c r="HT23" s="12">
        <f t="shared" si="99"/>
        <v>86.545274521345746</v>
      </c>
      <c r="HU23" s="12">
        <f t="shared" si="100"/>
        <v>93.405086866193102</v>
      </c>
      <c r="HV23" s="12">
        <f t="shared" si="101"/>
        <v>132.14094795519611</v>
      </c>
      <c r="HW23" s="12">
        <f t="shared" si="183"/>
        <v>92.918163834764044</v>
      </c>
      <c r="HX23" s="12">
        <f t="shared" si="102"/>
        <v>141.53567110369255</v>
      </c>
      <c r="HY23" s="12">
        <f t="shared" si="103"/>
        <v>109.85239373782238</v>
      </c>
      <c r="HZ23" s="12">
        <f t="shared" si="104"/>
        <v>80.947643688697397</v>
      </c>
      <c r="IA23" s="12">
        <f t="shared" si="105"/>
        <v>88.883896081755395</v>
      </c>
      <c r="IB23" s="12">
        <f t="shared" si="184"/>
        <v>93.491781817262449</v>
      </c>
      <c r="IC23" s="158">
        <f t="shared" si="106"/>
        <v>152.88193093605645</v>
      </c>
      <c r="ID23" s="2">
        <f t="shared" si="107"/>
        <v>96.4734502685005</v>
      </c>
      <c r="IE23" s="2">
        <f t="shared" si="108"/>
        <v>98.985552271423003</v>
      </c>
      <c r="IF23" s="2">
        <f t="shared" si="109"/>
        <v>97.375328083989501</v>
      </c>
      <c r="IG23" s="2">
        <f t="shared" si="110"/>
        <v>145.35850642544003</v>
      </c>
      <c r="IH23" s="2">
        <f t="shared" si="185"/>
        <v>99.07705313658424</v>
      </c>
      <c r="II23" s="2">
        <f t="shared" si="111"/>
        <v>151.45745854599505</v>
      </c>
      <c r="IJ23" s="2">
        <f t="shared" si="112"/>
        <v>102.60620112166767</v>
      </c>
      <c r="IK23" s="2">
        <f t="shared" si="113"/>
        <v>92.668621700879754</v>
      </c>
      <c r="IL23" s="2">
        <f t="shared" si="114"/>
        <v>65.405453647190001</v>
      </c>
      <c r="IM23" s="2">
        <f t="shared" si="186"/>
        <v>100</v>
      </c>
      <c r="IN23" s="159">
        <f t="shared" si="115"/>
        <v>144.46685956471811</v>
      </c>
      <c r="IO23" s="12">
        <f t="shared" si="116"/>
        <v>85.633855966325783</v>
      </c>
      <c r="IP23" s="12">
        <f t="shared" si="117"/>
        <v>96.928028043643437</v>
      </c>
      <c r="IQ23" s="12">
        <f t="shared" si="118"/>
        <v>93.405086866193102</v>
      </c>
      <c r="IR23" s="12">
        <f t="shared" si="119"/>
        <v>132.14094795519611</v>
      </c>
      <c r="IS23" s="12">
        <f t="shared" si="187"/>
        <v>91.683142445731974</v>
      </c>
      <c r="IT23" s="12">
        <f t="shared" si="120"/>
        <v>141.53567110369255</v>
      </c>
      <c r="IU23" s="12">
        <f t="shared" si="121"/>
        <v>113.18092395215412</v>
      </c>
      <c r="IV23" s="12">
        <f t="shared" si="122"/>
        <v>90.442136546087568</v>
      </c>
      <c r="IW23" s="12">
        <f t="shared" si="123"/>
        <v>64.883811443760322</v>
      </c>
      <c r="IX23" s="12">
        <f t="shared" si="188"/>
        <v>93.630152203340174</v>
      </c>
      <c r="IY23" s="160">
        <f t="shared" si="124"/>
        <v>145.07095049633935</v>
      </c>
      <c r="IZ23" s="25">
        <f t="shared" si="125"/>
        <v>85.191723732354617</v>
      </c>
      <c r="JA23" s="25">
        <f t="shared" si="126"/>
        <v>96.17900087751444</v>
      </c>
      <c r="JB23" s="25">
        <f t="shared" si="127"/>
        <v>93.405086866193102</v>
      </c>
      <c r="JC23" s="25">
        <f t="shared" si="128"/>
        <v>132.14094795519611</v>
      </c>
      <c r="JD23" s="25">
        <f t="shared" si="189"/>
        <v>91.194450203524468</v>
      </c>
      <c r="JE23" s="25">
        <f t="shared" si="129"/>
        <v>131.75415928608908</v>
      </c>
      <c r="JF23" s="25">
        <f t="shared" si="130"/>
        <v>112.91806423113111</v>
      </c>
      <c r="JG23" s="25">
        <f t="shared" si="131"/>
        <v>91.177774905524373</v>
      </c>
      <c r="JH23" s="25">
        <f t="shared" si="132"/>
        <v>69.225483683220318</v>
      </c>
      <c r="JI23" s="25">
        <f t="shared" si="190"/>
        <v>100.4694512259513</v>
      </c>
    </row>
    <row r="24" spans="1:269" x14ac:dyDescent="0.35">
      <c r="A24" s="109">
        <v>2009</v>
      </c>
      <c r="B24" s="110">
        <v>788190000000</v>
      </c>
      <c r="C24" s="111">
        <v>87.8</v>
      </c>
      <c r="D24" s="112">
        <f t="shared" si="133"/>
        <v>0.878</v>
      </c>
      <c r="E24" s="111">
        <f t="shared" si="134"/>
        <v>8977107061.503418</v>
      </c>
      <c r="F24" s="113">
        <f t="shared" si="135"/>
        <v>897710706150.34167</v>
      </c>
      <c r="G24" s="114">
        <v>63667000000</v>
      </c>
      <c r="H24" s="110">
        <v>13592000000</v>
      </c>
      <c r="I24" s="110">
        <v>265344000000</v>
      </c>
      <c r="J24" s="110">
        <v>96505000000</v>
      </c>
      <c r="K24" s="112">
        <v>83.7</v>
      </c>
      <c r="L24" s="112">
        <f t="shared" si="136"/>
        <v>0.83700000000000008</v>
      </c>
      <c r="M24" s="112">
        <f t="shared" si="137"/>
        <v>760657108.72162485</v>
      </c>
      <c r="N24" s="112">
        <f t="shared" si="138"/>
        <v>3170179211.4695339</v>
      </c>
      <c r="O24" s="112">
        <f t="shared" si="139"/>
        <v>3170179211.4695339</v>
      </c>
      <c r="P24" s="112">
        <f t="shared" si="140"/>
        <v>76065710872.162476</v>
      </c>
      <c r="Q24" s="112">
        <f t="shared" si="141"/>
        <v>16238948626.045399</v>
      </c>
      <c r="R24" s="112">
        <f t="shared" si="142"/>
        <v>317017921146.95337</v>
      </c>
      <c r="S24" s="115">
        <f t="shared" si="143"/>
        <v>409322580645.16125</v>
      </c>
      <c r="T24" s="112">
        <f t="shared" si="144"/>
        <v>1152986857.8255675</v>
      </c>
      <c r="U24" s="115">
        <f t="shared" si="145"/>
        <v>115298685782.55673</v>
      </c>
      <c r="V24" s="116">
        <f t="shared" si="146"/>
        <v>1422331972578.0596</v>
      </c>
      <c r="W24" s="117">
        <f t="shared" si="147"/>
        <v>1227298000000</v>
      </c>
      <c r="X24" s="112">
        <v>79.506225000000001</v>
      </c>
      <c r="Y24" s="112">
        <f t="shared" si="148"/>
        <v>0.79506224999999997</v>
      </c>
      <c r="Z24" s="112">
        <f t="shared" si="149"/>
        <v>1543650198459.303</v>
      </c>
      <c r="AA24" s="115">
        <v>0.23899999999999999</v>
      </c>
      <c r="AB24" s="115">
        <v>0.32200000000000001</v>
      </c>
      <c r="AC24" s="115">
        <f t="shared" si="150"/>
        <v>0.56099999999999994</v>
      </c>
      <c r="AD24" s="118">
        <v>0.32193030569988629</v>
      </c>
      <c r="AE24" s="115">
        <f t="shared" si="151"/>
        <v>0.88293030569988629</v>
      </c>
      <c r="AF24" s="115">
        <f t="shared" si="152"/>
        <v>0.11706969430011371</v>
      </c>
      <c r="AG24" s="119">
        <v>0.23304500167470141</v>
      </c>
      <c r="AH24" s="119">
        <v>0.32081405586473555</v>
      </c>
      <c r="AI24" s="119">
        <f t="shared" si="153"/>
        <v>0.55385905753943698</v>
      </c>
      <c r="AJ24" s="16">
        <v>2921000</v>
      </c>
      <c r="AK24" s="120">
        <v>22579000</v>
      </c>
      <c r="AL24" s="121">
        <f t="shared" si="154"/>
        <v>25500000</v>
      </c>
      <c r="AM24" s="122">
        <v>0.17566689999999996</v>
      </c>
      <c r="AN24" s="123">
        <f t="shared" si="191"/>
        <v>3966382.935099999</v>
      </c>
      <c r="AO24" s="124">
        <v>0.84184791772045187</v>
      </c>
      <c r="AP24" s="123">
        <f t="shared" si="155"/>
        <v>19008084.134210084</v>
      </c>
      <c r="AQ24" s="125">
        <v>0.45876080000000002</v>
      </c>
      <c r="AR24" s="123">
        <f t="shared" si="156"/>
        <v>8720163.8838775251</v>
      </c>
      <c r="AS24" s="123">
        <f t="shared" si="157"/>
        <v>10287920.250332557</v>
      </c>
      <c r="AT24" s="115">
        <f t="shared" si="0"/>
        <v>473.1581389697111</v>
      </c>
      <c r="AU24" s="126">
        <v>0.65092589999999995</v>
      </c>
      <c r="AV24" s="123">
        <f t="shared" si="1"/>
        <v>2581821.381774608</v>
      </c>
      <c r="AW24" s="123">
        <f t="shared" si="158"/>
        <v>1384561.5533253907</v>
      </c>
      <c r="AX24" s="127">
        <f t="shared" si="159"/>
        <v>11301985.265652133</v>
      </c>
      <c r="AY24" s="127">
        <f t="shared" si="159"/>
        <v>11672481.803657947</v>
      </c>
      <c r="AZ24" s="16">
        <f t="shared" si="2"/>
        <v>63523709607.939445</v>
      </c>
      <c r="BA24" s="16">
        <f t="shared" si="3"/>
        <v>51774976174.617287</v>
      </c>
      <c r="BB24" s="16">
        <f t="shared" si="4"/>
        <v>214552858769.93164</v>
      </c>
      <c r="BC24" s="16">
        <f t="shared" si="5"/>
        <v>289062847380.41003</v>
      </c>
      <c r="BD24" s="17">
        <f t="shared" si="6"/>
        <v>289000282061.04028</v>
      </c>
      <c r="BE24" s="16">
        <f t="shared" si="160"/>
        <v>792615988211.38196</v>
      </c>
      <c r="BF24" s="117">
        <v>897710706150.34167</v>
      </c>
      <c r="BG24" s="116">
        <f t="shared" si="161"/>
        <v>0.88293030569988629</v>
      </c>
      <c r="BH24" s="115">
        <v>0.88293030569988629</v>
      </c>
      <c r="BI24" s="17">
        <v>52279121.832134694</v>
      </c>
      <c r="BJ24" s="7">
        <f t="shared" si="162"/>
        <v>792615988211.38196</v>
      </c>
      <c r="BK24" s="16">
        <f t="shared" si="163"/>
        <v>278076568377.87109</v>
      </c>
      <c r="BL24" s="112">
        <f t="shared" si="7"/>
        <v>35204.341417660457</v>
      </c>
      <c r="BM24" s="112">
        <f t="shared" si="8"/>
        <v>31082.979929858117</v>
      </c>
      <c r="BN24" s="115">
        <f t="shared" si="9"/>
        <v>24604.22322642498</v>
      </c>
      <c r="BO24" s="112">
        <f t="shared" si="164"/>
        <v>677.00656572423952</v>
      </c>
      <c r="BP24" s="112">
        <f t="shared" si="164"/>
        <v>597.74961403573298</v>
      </c>
      <c r="BQ24" s="115">
        <f t="shared" si="164"/>
        <v>473.15813896971116</v>
      </c>
      <c r="BR24" s="112">
        <f t="shared" si="10"/>
        <v>524621266427.7179</v>
      </c>
      <c r="BS24" s="115">
        <f t="shared" si="11"/>
        <v>1144255404200.1885</v>
      </c>
      <c r="BT24" s="112">
        <f t="shared" si="12"/>
        <v>524621266427.71802</v>
      </c>
      <c r="BU24" s="115">
        <f t="shared" si="13"/>
        <v>750160404200.1886</v>
      </c>
      <c r="BV24" s="118">
        <f t="shared" si="14"/>
        <v>1039160686261.2289</v>
      </c>
      <c r="BW24" s="112">
        <f t="shared" si="15"/>
        <v>55777.724414825869</v>
      </c>
      <c r="BX24" s="115">
        <f t="shared" si="16"/>
        <v>125847.97618703938</v>
      </c>
      <c r="BY24" s="128">
        <f t="shared" si="17"/>
        <v>1292963602441.0984</v>
      </c>
      <c r="BZ24" s="119">
        <f t="shared" si="18"/>
        <v>1336006856886.4036</v>
      </c>
      <c r="CA24" s="113">
        <v>36.799999999999997</v>
      </c>
      <c r="CB24" s="113">
        <v>15.5</v>
      </c>
      <c r="CC24" s="113">
        <v>9.5</v>
      </c>
      <c r="CD24" s="113">
        <v>18594433.152493875</v>
      </c>
      <c r="CE24" s="113">
        <v>6537990.0892228773</v>
      </c>
      <c r="CF24" s="113">
        <v>1141659.4113692695</v>
      </c>
      <c r="CG24" s="113">
        <f t="shared" si="165"/>
        <v>26274082.653086022</v>
      </c>
      <c r="CH24" s="113">
        <v>25500000</v>
      </c>
      <c r="CI24" s="113">
        <f t="shared" si="166"/>
        <v>-774082.65308602154</v>
      </c>
      <c r="CJ24" s="122">
        <f t="shared" si="167"/>
        <v>0.70771008061474094</v>
      </c>
      <c r="CK24" s="122">
        <f t="shared" si="168"/>
        <v>0.24883799657435263</v>
      </c>
      <c r="CL24" s="122">
        <f t="shared" si="169"/>
        <v>4.3451922810906429E-2</v>
      </c>
      <c r="CM24" s="129">
        <f t="shared" si="19"/>
        <v>30.313513180228544</v>
      </c>
      <c r="CN24" s="16">
        <v>920595682.49309146</v>
      </c>
      <c r="CO24" s="16">
        <f t="shared" si="20"/>
        <v>796459750.80273724</v>
      </c>
      <c r="CP24" s="130">
        <v>31.51</v>
      </c>
      <c r="CQ24" s="131">
        <f t="shared" si="192"/>
        <v>29.117026360457086</v>
      </c>
      <c r="CR24" s="5">
        <v>33.950000000000003</v>
      </c>
      <c r="CS24" s="132">
        <v>39.35</v>
      </c>
      <c r="CT24" s="5">
        <f t="shared" si="21"/>
        <v>35.183574025614199</v>
      </c>
      <c r="CU24" s="5">
        <v>32.54</v>
      </c>
      <c r="CV24" s="5">
        <v>40.520000000000003</v>
      </c>
      <c r="CW24" s="133"/>
      <c r="CX24" s="134">
        <v>34.409999999999997</v>
      </c>
      <c r="CY24" s="5">
        <f t="shared" si="193"/>
        <v>33.090942626558203</v>
      </c>
      <c r="CZ24" s="5">
        <f t="shared" si="170"/>
        <v>35.613119133618405</v>
      </c>
      <c r="DA24" s="5">
        <f t="shared" si="194"/>
        <v>35.294091575584133</v>
      </c>
      <c r="DB24" s="117">
        <f t="shared" si="171"/>
        <v>1851.8821949481571</v>
      </c>
      <c r="DC24" s="135">
        <f t="shared" si="171"/>
        <v>1835.292761930375</v>
      </c>
      <c r="DD24" s="5">
        <f t="shared" si="22"/>
        <v>1829.5458493319384</v>
      </c>
      <c r="DE24" s="131">
        <f t="shared" si="23"/>
        <v>364444129.47490597</v>
      </c>
      <c r="DF24" s="5">
        <f t="shared" si="24"/>
        <v>296049563.85764199</v>
      </c>
      <c r="DG24" s="131">
        <f t="shared" si="25"/>
        <v>517101990.79382908</v>
      </c>
      <c r="DH24" s="5">
        <f t="shared" si="26"/>
        <v>101594671.37283082</v>
      </c>
      <c r="DI24" s="7">
        <f t="shared" si="195"/>
        <v>908134537.90726936</v>
      </c>
      <c r="DJ24" s="136">
        <f t="shared" si="172"/>
        <v>1325926627.8293962</v>
      </c>
      <c r="DK24" s="16">
        <f t="shared" si="27"/>
        <v>397644235.2304728</v>
      </c>
      <c r="DL24" s="7">
        <f t="shared" si="196"/>
        <v>47222995971.178009</v>
      </c>
      <c r="DM24" s="136">
        <f t="shared" si="196"/>
        <v>68948184647.128601</v>
      </c>
      <c r="DN24" s="16">
        <f t="shared" si="173"/>
        <v>20677500231.984585</v>
      </c>
      <c r="DO24" s="117">
        <f t="shared" si="197"/>
        <v>1851.8821949481571</v>
      </c>
      <c r="DP24" s="135">
        <f t="shared" si="198"/>
        <v>1835.2927619303748</v>
      </c>
      <c r="DQ24" s="5">
        <f t="shared" si="28"/>
        <v>1829.5458493319384</v>
      </c>
      <c r="DR24" s="117">
        <f t="shared" si="29"/>
        <v>30.119477668171729</v>
      </c>
      <c r="DS24" s="135">
        <f t="shared" si="199"/>
        <v>20.628998136172012</v>
      </c>
      <c r="DT24" s="5">
        <f t="shared" si="30"/>
        <v>68.786456613258949</v>
      </c>
      <c r="DU24" s="137">
        <f t="shared" si="31"/>
        <v>26.593399625079762</v>
      </c>
      <c r="DV24" s="138">
        <f t="shared" si="32"/>
        <v>49.727334592774014</v>
      </c>
      <c r="DW24" s="130">
        <f t="shared" si="33"/>
        <v>63.70389263019122</v>
      </c>
      <c r="DX24" s="137">
        <v>27.379957070708585</v>
      </c>
      <c r="DY24" s="138">
        <v>64.611623353766319</v>
      </c>
      <c r="DZ24" s="137">
        <f t="shared" si="34"/>
        <v>30.119477668171729</v>
      </c>
      <c r="EA24" s="138">
        <v>46.617946597140623</v>
      </c>
      <c r="EB24" s="130">
        <v>59.813185455740729</v>
      </c>
      <c r="EC24" s="139">
        <f t="shared" si="35"/>
        <v>0.5843990305935578</v>
      </c>
      <c r="ED24" s="140">
        <f t="shared" si="36"/>
        <v>4.1148932859574465</v>
      </c>
      <c r="EE24" s="139">
        <f t="shared" si="37"/>
        <v>0.58439903059355791</v>
      </c>
      <c r="EF24" s="141">
        <f t="shared" si="38"/>
        <v>3.7369588251288408</v>
      </c>
      <c r="EG24" s="142">
        <f t="shared" si="39"/>
        <v>2.6976757106007399</v>
      </c>
      <c r="EH24" s="117">
        <f t="shared" si="40"/>
        <v>22.477367409317832</v>
      </c>
      <c r="EI24" s="117">
        <f t="shared" si="41"/>
        <v>13.135751724300572</v>
      </c>
      <c r="EJ24" s="135">
        <f t="shared" si="42"/>
        <v>7.4507912942697292</v>
      </c>
      <c r="EK24" s="135">
        <f t="shared" si="43"/>
        <v>27.843300281314406</v>
      </c>
      <c r="EL24" s="143">
        <f t="shared" si="44"/>
        <v>9.5150512860680596</v>
      </c>
      <c r="EM24" s="143">
        <f t="shared" si="45"/>
        <v>25.668522739546141</v>
      </c>
      <c r="EN24" s="144">
        <f t="shared" si="46"/>
        <v>23.226472176149809</v>
      </c>
      <c r="EO24" s="145">
        <f t="shared" si="47"/>
        <v>13.573527823850188</v>
      </c>
      <c r="EP24" s="146">
        <f t="shared" si="48"/>
        <v>9.5150512860680596</v>
      </c>
      <c r="EQ24" s="134">
        <f t="shared" si="49"/>
        <v>25.668522739546141</v>
      </c>
      <c r="ER24" s="130">
        <f t="shared" si="50"/>
        <v>7.4274603863919451</v>
      </c>
      <c r="ES24" s="130">
        <f t="shared" si="51"/>
        <v>27.756113639222253</v>
      </c>
      <c r="ET24" s="117">
        <f t="shared" si="200"/>
        <v>11.093119133618405</v>
      </c>
      <c r="EU24" s="135">
        <f t="shared" si="201"/>
        <v>25.804091575584131</v>
      </c>
      <c r="EV24" s="5">
        <f t="shared" si="52"/>
        <v>23.573574025614199</v>
      </c>
      <c r="EW24" s="145">
        <f t="shared" si="53"/>
        <v>12.339999999999996</v>
      </c>
      <c r="EX24" s="134">
        <f t="shared" si="54"/>
        <v>23.517574025614199</v>
      </c>
      <c r="EY24" s="130">
        <f t="shared" si="55"/>
        <v>25.7135740256142</v>
      </c>
      <c r="EZ24" s="117">
        <f t="shared" si="202"/>
        <v>45.241105765164782</v>
      </c>
      <c r="FA24" s="135">
        <f t="shared" si="203"/>
        <v>271.90823578065471</v>
      </c>
      <c r="FB24" s="5">
        <f t="shared" si="174"/>
        <v>203.04542657721103</v>
      </c>
      <c r="FC24" s="145">
        <f t="shared" si="56"/>
        <v>50.44971381847914</v>
      </c>
      <c r="FD24" s="134">
        <f t="shared" si="57"/>
        <v>201.59072540385904</v>
      </c>
      <c r="FE24" s="130">
        <f t="shared" si="58"/>
        <v>271.52665285759451</v>
      </c>
      <c r="FF24" s="117">
        <f t="shared" si="59"/>
        <v>16.784534142965974</v>
      </c>
      <c r="FG24" s="135">
        <f t="shared" si="175"/>
        <v>19.181866865007553</v>
      </c>
      <c r="FH24" s="5">
        <f t="shared" si="60"/>
        <v>13.448268178361996</v>
      </c>
      <c r="FI24" s="145">
        <f t="shared" si="61"/>
        <v>16.784534142965974</v>
      </c>
      <c r="FJ24" s="134">
        <f t="shared" si="62"/>
        <v>13.448268178361996</v>
      </c>
      <c r="FK24" s="145">
        <f t="shared" si="63"/>
        <v>19.010032880977072</v>
      </c>
      <c r="FL24" s="134">
        <f t="shared" si="64"/>
        <v>13.448268178361996</v>
      </c>
      <c r="FM24" s="130">
        <v>12.696481520910273</v>
      </c>
      <c r="FN24" s="111">
        <v>86.6</v>
      </c>
      <c r="FO24" s="147">
        <f t="shared" si="65"/>
        <v>2.8752158637702121</v>
      </c>
      <c r="FP24" s="148">
        <f t="shared" si="66"/>
        <v>4.1979741055941453</v>
      </c>
      <c r="FQ24" s="149">
        <f t="shared" si="67"/>
        <v>1.2589687601862514</v>
      </c>
      <c r="FR24" s="150">
        <f t="shared" si="68"/>
        <v>3.3201106971942403E-2</v>
      </c>
      <c r="FS24" s="151">
        <f t="shared" si="68"/>
        <v>4.847545156575226E-2</v>
      </c>
      <c r="FT24" s="122">
        <f t="shared" si="68"/>
        <v>1.4537745498686507E-2</v>
      </c>
      <c r="FU24" s="152">
        <f t="shared" si="69"/>
        <v>1.2218007365674803</v>
      </c>
      <c r="FV24" s="140">
        <f t="shared" si="70"/>
        <v>0.70752985885406372</v>
      </c>
      <c r="FW24" s="153">
        <f t="shared" si="71"/>
        <v>0.55229865198127048</v>
      </c>
      <c r="FX24" s="152">
        <f t="shared" si="72"/>
        <v>1.7270976357774268</v>
      </c>
      <c r="FY24" s="140">
        <f t="shared" si="73"/>
        <v>0.5114898449185763</v>
      </c>
      <c r="FZ24" s="140">
        <f t="shared" si="176"/>
        <v>36.791552660411313</v>
      </c>
      <c r="GA24" s="153">
        <f t="shared" si="176"/>
        <v>28.719529903026064</v>
      </c>
      <c r="GB24" s="152">
        <f t="shared" si="74"/>
        <v>3.7603315638400657E-2</v>
      </c>
      <c r="GC24" s="154">
        <f t="shared" si="75"/>
        <v>1.4537745498686507E-2</v>
      </c>
      <c r="GD24" s="152">
        <f t="shared" si="76"/>
        <v>3.320110697194241E-2</v>
      </c>
      <c r="GE24" s="154">
        <f t="shared" si="77"/>
        <v>2.01096641955411E-2</v>
      </c>
      <c r="GF24" s="155">
        <f t="shared" si="78"/>
        <v>1.6627119011843178E-2</v>
      </c>
      <c r="GG24" s="152">
        <f t="shared" si="79"/>
        <v>357.63516993242399</v>
      </c>
      <c r="GH24" s="134">
        <f t="shared" si="80"/>
        <v>35.183574025614199</v>
      </c>
      <c r="GI24" s="130">
        <f t="shared" si="81"/>
        <v>35.183574025614199</v>
      </c>
      <c r="GJ24" s="152">
        <f t="shared" si="82"/>
        <v>1.0295771678957149</v>
      </c>
      <c r="GK24" s="154">
        <f t="shared" si="82"/>
        <v>0.9393073365740443</v>
      </c>
      <c r="GL24" s="152">
        <f t="shared" si="82"/>
        <v>1.0000000000000002</v>
      </c>
      <c r="GM24" s="154">
        <f t="shared" si="82"/>
        <v>0.93747125155416589</v>
      </c>
      <c r="GN24" s="154">
        <f t="shared" si="82"/>
        <v>0.99452095305004862</v>
      </c>
      <c r="GO24" s="112">
        <f t="shared" si="177"/>
        <v>0.55726511355483299</v>
      </c>
      <c r="GP24" s="156">
        <f t="shared" si="177"/>
        <v>0.92984965815538179</v>
      </c>
      <c r="GQ24" s="115">
        <f t="shared" si="177"/>
        <v>0.19550750017511109</v>
      </c>
      <c r="GR24" s="117">
        <f t="shared" si="204"/>
        <v>362.05685855311197</v>
      </c>
      <c r="GS24" s="135">
        <f t="shared" si="178"/>
        <v>1706.5463472960055</v>
      </c>
      <c r="GT24" s="5">
        <f t="shared" si="178"/>
        <v>357.68993545863771</v>
      </c>
      <c r="GU24" s="130">
        <f t="shared" si="83"/>
        <v>386.22794009238117</v>
      </c>
      <c r="GV24" s="145">
        <f t="shared" si="84"/>
        <v>1031.9893416579582</v>
      </c>
      <c r="GW24" s="134">
        <f t="shared" si="85"/>
        <v>380.8018116447891</v>
      </c>
      <c r="GX24" s="157">
        <f t="shared" si="179"/>
        <v>0.63115413522146213</v>
      </c>
      <c r="GY24" s="154">
        <f t="shared" si="86"/>
        <v>0.19550750017511109</v>
      </c>
      <c r="GZ24" s="157">
        <f t="shared" si="86"/>
        <v>0.63115413522146235</v>
      </c>
      <c r="HA24" s="154">
        <f t="shared" si="86"/>
        <v>0.27044015707844093</v>
      </c>
      <c r="HB24" s="155">
        <f t="shared" si="86"/>
        <v>0.2111059092798428</v>
      </c>
      <c r="HC24" s="157">
        <f t="shared" si="87"/>
        <v>0.61302266105165937</v>
      </c>
      <c r="HD24" s="154">
        <f t="shared" si="88"/>
        <v>0.20814007573728721</v>
      </c>
      <c r="HE24" s="144">
        <v>86.6</v>
      </c>
      <c r="HF24" s="146"/>
      <c r="HG24" s="158">
        <f t="shared" si="89"/>
        <v>139.40915005452436</v>
      </c>
      <c r="HH24" s="2">
        <f t="shared" si="90"/>
        <v>91.894388427301038</v>
      </c>
      <c r="HI24" s="2">
        <f t="shared" si="91"/>
        <v>96.30316513416841</v>
      </c>
      <c r="HJ24" s="2">
        <f t="shared" si="92"/>
        <v>96.587926509186346</v>
      </c>
      <c r="HK24" s="2">
        <f t="shared" si="93"/>
        <v>140.94507882546714</v>
      </c>
      <c r="HL24" s="2">
        <f t="shared" si="180"/>
        <v>98.310612962844573</v>
      </c>
      <c r="HM24" s="2">
        <f t="shared" si="94"/>
        <v>156.42622686827562</v>
      </c>
      <c r="HN24" s="2">
        <f t="shared" si="95"/>
        <v>104.80425935574287</v>
      </c>
      <c r="HO24" s="2">
        <f t="shared" si="181"/>
        <v>81.327852885765424</v>
      </c>
      <c r="HP24" s="2">
        <f t="shared" si="96"/>
        <v>90.191532474990183</v>
      </c>
      <c r="HQ24" s="2">
        <f t="shared" si="182"/>
        <v>87.62433449609911</v>
      </c>
      <c r="HR24" s="159">
        <f t="shared" si="97"/>
        <v>144.86911065866889</v>
      </c>
      <c r="HS24" s="12">
        <f t="shared" si="98"/>
        <v>111.02743624350127</v>
      </c>
      <c r="HT24" s="12">
        <f t="shared" si="99"/>
        <v>88.695655630774496</v>
      </c>
      <c r="HU24" s="12">
        <f t="shared" si="100"/>
        <v>93.797851307955753</v>
      </c>
      <c r="HV24" s="12">
        <f t="shared" si="101"/>
        <v>123.85468915380227</v>
      </c>
      <c r="HW24" s="12">
        <f t="shared" si="183"/>
        <v>85.598730374391891</v>
      </c>
      <c r="HX24" s="12">
        <f t="shared" si="102"/>
        <v>132.10479546524553</v>
      </c>
      <c r="HY24" s="12">
        <f t="shared" si="103"/>
        <v>121.7762716837655</v>
      </c>
      <c r="HZ24" s="12">
        <f t="shared" si="104"/>
        <v>81.456717434741535</v>
      </c>
      <c r="IA24" s="12">
        <f t="shared" si="105"/>
        <v>89.695693943164116</v>
      </c>
      <c r="IB24" s="12">
        <f t="shared" si="184"/>
        <v>93.930733657404431</v>
      </c>
      <c r="IC24" s="158">
        <f t="shared" si="106"/>
        <v>153.35782926767683</v>
      </c>
      <c r="ID24" s="2">
        <f t="shared" si="107"/>
        <v>94.953077045704632</v>
      </c>
      <c r="IE24" s="2">
        <f t="shared" si="108"/>
        <v>99.512667330279967</v>
      </c>
      <c r="IF24" s="2">
        <f t="shared" si="109"/>
        <v>96.587926509186346</v>
      </c>
      <c r="IG24" s="2">
        <f t="shared" si="110"/>
        <v>146.22064767776604</v>
      </c>
      <c r="IH24" s="2">
        <f t="shared" si="185"/>
        <v>98.310612962844601</v>
      </c>
      <c r="II24" s="2">
        <f t="shared" si="111"/>
        <v>150.75363109418774</v>
      </c>
      <c r="IJ24" s="2">
        <f t="shared" si="112"/>
        <v>104.80425935574287</v>
      </c>
      <c r="IK24" s="2">
        <f t="shared" si="113"/>
        <v>90.469208211143666</v>
      </c>
      <c r="IL24" s="2">
        <f t="shared" si="114"/>
        <v>65.202488161709368</v>
      </c>
      <c r="IM24" s="2">
        <f t="shared" si="186"/>
        <v>100.00000000000003</v>
      </c>
      <c r="IN24" s="159">
        <f t="shared" si="115"/>
        <v>142.3448751057729</v>
      </c>
      <c r="IO24" s="12">
        <f t="shared" si="116"/>
        <v>81.562243151620606</v>
      </c>
      <c r="IP24" s="12">
        <f t="shared" si="117"/>
        <v>99.336388310937068</v>
      </c>
      <c r="IQ24" s="12">
        <f t="shared" si="118"/>
        <v>93.797851307955753</v>
      </c>
      <c r="IR24" s="12">
        <f t="shared" si="119"/>
        <v>123.85468915380227</v>
      </c>
      <c r="IS24" s="12">
        <f t="shared" si="187"/>
        <v>86.958249864450465</v>
      </c>
      <c r="IT24" s="12">
        <f t="shared" si="120"/>
        <v>132.10479546524553</v>
      </c>
      <c r="IU24" s="12">
        <f t="shared" si="121"/>
        <v>121.78353109061911</v>
      </c>
      <c r="IV24" s="12">
        <f t="shared" si="122"/>
        <v>91.012283380859898</v>
      </c>
      <c r="IW24" s="12">
        <f t="shared" si="123"/>
        <v>65.933325231282296</v>
      </c>
      <c r="IX24" s="12">
        <f t="shared" si="188"/>
        <v>93.747125155416583</v>
      </c>
      <c r="IY24" s="160">
        <f t="shared" si="124"/>
        <v>148.27264614710145</v>
      </c>
      <c r="IZ24" s="25">
        <f t="shared" si="125"/>
        <v>78.431471873198987</v>
      </c>
      <c r="JA24" s="25">
        <f t="shared" si="126"/>
        <v>98.987566473688489</v>
      </c>
      <c r="JB24" s="25">
        <f t="shared" si="127"/>
        <v>93.797851307955753</v>
      </c>
      <c r="JC24" s="25">
        <f t="shared" si="128"/>
        <v>123.85468915380227</v>
      </c>
      <c r="JD24" s="25">
        <f t="shared" si="189"/>
        <v>83.606300704888241</v>
      </c>
      <c r="JE24" s="25">
        <f t="shared" si="129"/>
        <v>124.71985776925614</v>
      </c>
      <c r="JF24" s="25">
        <f t="shared" si="130"/>
        <v>126.23240344580226</v>
      </c>
      <c r="JG24" s="25">
        <f t="shared" si="131"/>
        <v>91.7031883937739</v>
      </c>
      <c r="JH24" s="25">
        <f t="shared" si="132"/>
        <v>67.044834725174113</v>
      </c>
      <c r="JI24" s="25">
        <f t="shared" si="190"/>
        <v>99.45209530500486</v>
      </c>
    </row>
    <row r="25" spans="1:269" x14ac:dyDescent="0.35">
      <c r="A25" s="109">
        <v>2010</v>
      </c>
      <c r="B25" s="110">
        <v>809201000000</v>
      </c>
      <c r="C25" s="111">
        <v>88.3</v>
      </c>
      <c r="D25" s="112">
        <f t="shared" si="133"/>
        <v>0.88300000000000001</v>
      </c>
      <c r="E25" s="111">
        <f t="shared" si="134"/>
        <v>9164224235.5605888</v>
      </c>
      <c r="F25" s="113">
        <f t="shared" si="135"/>
        <v>916422423556.05884</v>
      </c>
      <c r="G25" s="114">
        <v>54193000000</v>
      </c>
      <c r="H25" s="110">
        <v>14482000000</v>
      </c>
      <c r="I25" s="110">
        <v>283037000000</v>
      </c>
      <c r="J25" s="110">
        <v>100505000000</v>
      </c>
      <c r="K25" s="112">
        <v>83</v>
      </c>
      <c r="L25" s="112">
        <f t="shared" si="136"/>
        <v>0.83</v>
      </c>
      <c r="M25" s="112">
        <f t="shared" si="137"/>
        <v>652927710.84337354</v>
      </c>
      <c r="N25" s="112">
        <f t="shared" si="138"/>
        <v>3410084337.3493977</v>
      </c>
      <c r="O25" s="112">
        <f t="shared" si="139"/>
        <v>3410084337.3493977</v>
      </c>
      <c r="P25" s="112">
        <f t="shared" si="140"/>
        <v>65292771084.337349</v>
      </c>
      <c r="Q25" s="112">
        <f t="shared" si="141"/>
        <v>17448192771.084339</v>
      </c>
      <c r="R25" s="112">
        <f t="shared" si="142"/>
        <v>341008433734.93976</v>
      </c>
      <c r="S25" s="115">
        <f t="shared" si="143"/>
        <v>423749397590.36145</v>
      </c>
      <c r="T25" s="112">
        <f t="shared" si="144"/>
        <v>1210903614.4578314</v>
      </c>
      <c r="U25" s="115">
        <f t="shared" si="145"/>
        <v>121090361445.78314</v>
      </c>
      <c r="V25" s="116">
        <f t="shared" si="146"/>
        <v>1461262182592.2036</v>
      </c>
      <c r="W25" s="117">
        <f t="shared" si="147"/>
        <v>1261418000000</v>
      </c>
      <c r="X25" s="112">
        <v>80.598199999999991</v>
      </c>
      <c r="Y25" s="112">
        <f t="shared" si="148"/>
        <v>0.80598199999999987</v>
      </c>
      <c r="Z25" s="112">
        <f t="shared" si="149"/>
        <v>1565069691382.6863</v>
      </c>
      <c r="AA25" s="115">
        <v>0.24054944421189003</v>
      </c>
      <c r="AB25" s="115">
        <v>0.3224669924363941</v>
      </c>
      <c r="AC25" s="115">
        <f t="shared" si="150"/>
        <v>0.56301643664828416</v>
      </c>
      <c r="AD25" s="118">
        <v>0.28395803165642391</v>
      </c>
      <c r="AE25" s="115">
        <f t="shared" si="151"/>
        <v>0.84697446830470802</v>
      </c>
      <c r="AF25" s="115">
        <f t="shared" si="152"/>
        <v>0.15302553169529198</v>
      </c>
      <c r="AG25" s="119">
        <v>0.2328455524415565</v>
      </c>
      <c r="AH25" s="119">
        <v>0.31310793537007225</v>
      </c>
      <c r="AI25" s="119">
        <f t="shared" si="153"/>
        <v>0.54595348781162878</v>
      </c>
      <c r="AJ25" s="16">
        <v>2920000</v>
      </c>
      <c r="AK25" s="120">
        <v>22891000</v>
      </c>
      <c r="AL25" s="121">
        <f t="shared" si="154"/>
        <v>25811000</v>
      </c>
      <c r="AM25" s="122">
        <v>0.19319920000000002</v>
      </c>
      <c r="AN25" s="123">
        <f t="shared" si="191"/>
        <v>4422522.8872000007</v>
      </c>
      <c r="AO25" s="124">
        <f t="shared" ref="AO25:AO32" si="205">1-AM25</f>
        <v>0.80680079999999998</v>
      </c>
      <c r="AP25" s="123">
        <f t="shared" si="155"/>
        <v>18468477.112799998</v>
      </c>
      <c r="AQ25" s="125">
        <v>0.47827760000000002</v>
      </c>
      <c r="AR25" s="123">
        <f t="shared" si="156"/>
        <v>8833058.909164913</v>
      </c>
      <c r="AS25" s="123">
        <f t="shared" si="157"/>
        <v>9635418.2036350872</v>
      </c>
      <c r="AT25" s="115">
        <f t="shared" si="0"/>
        <v>479.93850522372946</v>
      </c>
      <c r="AU25" s="126">
        <v>0.67231490000000005</v>
      </c>
      <c r="AV25" s="123">
        <f t="shared" si="1"/>
        <v>2973328.03265558</v>
      </c>
      <c r="AW25" s="123">
        <f t="shared" si="158"/>
        <v>1449194.8545444207</v>
      </c>
      <c r="AX25" s="127">
        <f t="shared" si="159"/>
        <v>11806386.941820493</v>
      </c>
      <c r="AY25" s="127">
        <f t="shared" si="159"/>
        <v>11084613.058179509</v>
      </c>
      <c r="AZ25" s="16">
        <f t="shared" si="2"/>
        <v>74204759799.69162</v>
      </c>
      <c r="BA25" s="16">
        <f t="shared" si="3"/>
        <v>46885601646.091522</v>
      </c>
      <c r="BB25" s="16">
        <f t="shared" si="4"/>
        <v>220444904649.72324</v>
      </c>
      <c r="BC25" s="16">
        <f t="shared" si="5"/>
        <v>295515982725.39355</v>
      </c>
      <c r="BD25" s="17">
        <f t="shared" si="6"/>
        <v>260225507558.78809</v>
      </c>
      <c r="BE25" s="16">
        <f t="shared" si="160"/>
        <v>776186394933.90491</v>
      </c>
      <c r="BF25" s="117">
        <v>916422423556.05884</v>
      </c>
      <c r="BG25" s="116">
        <f t="shared" si="161"/>
        <v>0.84697446830470802</v>
      </c>
      <c r="BH25" s="115">
        <v>0.84697446830470802</v>
      </c>
      <c r="BI25" s="17">
        <v>14176214.425293745</v>
      </c>
      <c r="BJ25" s="7">
        <f t="shared" si="162"/>
        <v>776186394933.90491</v>
      </c>
      <c r="BK25" s="16">
        <f t="shared" si="163"/>
        <v>294649664449.41486</v>
      </c>
      <c r="BL25" s="112">
        <f t="shared" si="7"/>
        <v>35505.111136959393</v>
      </c>
      <c r="BM25" s="112">
        <f t="shared" si="8"/>
        <v>30071.922627325748</v>
      </c>
      <c r="BN25" s="115">
        <f t="shared" si="9"/>
        <v>24956.802271633929</v>
      </c>
      <c r="BO25" s="112">
        <f t="shared" si="164"/>
        <v>682.79059878768066</v>
      </c>
      <c r="BP25" s="112">
        <f t="shared" si="164"/>
        <v>578.30620437164896</v>
      </c>
      <c r="BQ25" s="115">
        <f t="shared" si="164"/>
        <v>479.93850522372941</v>
      </c>
      <c r="BR25" s="112">
        <f t="shared" si="10"/>
        <v>544839759036.14478</v>
      </c>
      <c r="BS25" s="115">
        <f t="shared" si="11"/>
        <v>1166612518142.7888</v>
      </c>
      <c r="BT25" s="112">
        <f t="shared" si="12"/>
        <v>544839759036.14459</v>
      </c>
      <c r="BU25" s="115">
        <f t="shared" si="13"/>
        <v>766150981961.84656</v>
      </c>
      <c r="BV25" s="118">
        <f t="shared" si="14"/>
        <v>1026376489520.6346</v>
      </c>
      <c r="BW25" s="112">
        <f t="shared" si="15"/>
        <v>56613.931370043923</v>
      </c>
      <c r="BX25" s="115">
        <f t="shared" si="16"/>
        <v>123768.78631820307</v>
      </c>
      <c r="BY25" s="128">
        <f t="shared" si="17"/>
        <v>1282145806320.9761</v>
      </c>
      <c r="BZ25" s="119">
        <f t="shared" si="18"/>
        <v>1358261474904.4382</v>
      </c>
      <c r="CA25" s="113">
        <v>37.1</v>
      </c>
      <c r="CB25" s="113">
        <v>15.6</v>
      </c>
      <c r="CC25" s="113">
        <v>9.6</v>
      </c>
      <c r="CD25" s="113">
        <v>18295897.328721907</v>
      </c>
      <c r="CE25" s="113">
        <v>6711567.704407773</v>
      </c>
      <c r="CF25" s="113">
        <v>1111243.122702596</v>
      </c>
      <c r="CG25" s="113">
        <f t="shared" si="165"/>
        <v>26118708.155832276</v>
      </c>
      <c r="CH25" s="113">
        <v>25811000</v>
      </c>
      <c r="CI25" s="113">
        <f t="shared" si="166"/>
        <v>-307708.15583227575</v>
      </c>
      <c r="CJ25" s="122">
        <f t="shared" si="167"/>
        <v>0.70049013219041834</v>
      </c>
      <c r="CK25" s="122">
        <f t="shared" si="168"/>
        <v>0.25696399930519104</v>
      </c>
      <c r="CL25" s="122">
        <f t="shared" si="169"/>
        <v>4.2545868504390662E-2</v>
      </c>
      <c r="CM25" s="129">
        <f t="shared" si="19"/>
        <v>30.405262631067654</v>
      </c>
      <c r="CN25" s="16">
        <v>921119624.00585449</v>
      </c>
      <c r="CO25" s="16">
        <f t="shared" si="20"/>
        <v>794146181.062289</v>
      </c>
      <c r="CP25" s="130">
        <v>31.93</v>
      </c>
      <c r="CQ25" s="131">
        <f t="shared" si="192"/>
        <v>28.880525262135308</v>
      </c>
      <c r="CR25" s="5">
        <v>33.29</v>
      </c>
      <c r="CS25" s="132">
        <v>37.9</v>
      </c>
      <c r="CT25" s="5">
        <f t="shared" si="21"/>
        <v>34.450985346159477</v>
      </c>
      <c r="CU25" s="5">
        <v>33.04</v>
      </c>
      <c r="CV25" s="5">
        <v>40.24</v>
      </c>
      <c r="CW25" s="133"/>
      <c r="CX25" s="134">
        <v>36.229999999999997</v>
      </c>
      <c r="CY25" s="5">
        <f t="shared" si="193"/>
        <v>33.553616686361686</v>
      </c>
      <c r="CZ25" s="5">
        <f t="shared" si="170"/>
        <v>35.019567492594085</v>
      </c>
      <c r="DA25" s="5">
        <f t="shared" si="194"/>
        <v>34.775052323157844</v>
      </c>
      <c r="DB25" s="117">
        <f t="shared" si="171"/>
        <v>1821.0175096148923</v>
      </c>
      <c r="DC25" s="135">
        <f t="shared" si="171"/>
        <v>1808.3027208042079</v>
      </c>
      <c r="DD25" s="5">
        <f t="shared" si="22"/>
        <v>1791.4512380002927</v>
      </c>
      <c r="DE25" s="131">
        <f t="shared" si="23"/>
        <v>377178087.87671489</v>
      </c>
      <c r="DF25" s="5">
        <f t="shared" si="24"/>
        <v>294052531.08609992</v>
      </c>
      <c r="DG25" s="131">
        <f t="shared" si="25"/>
        <v>530199299.38810593</v>
      </c>
      <c r="DH25" s="5">
        <f t="shared" si="26"/>
        <v>112689132.43764648</v>
      </c>
      <c r="DI25" s="7">
        <f t="shared" si="195"/>
        <v>903890056.55134594</v>
      </c>
      <c r="DJ25" s="136">
        <f t="shared" si="172"/>
        <v>1283046874.5931783</v>
      </c>
      <c r="DK25" s="16">
        <f t="shared" si="27"/>
        <v>406741663.52374637</v>
      </c>
      <c r="DL25" s="7">
        <f t="shared" si="196"/>
        <v>47002282940.669991</v>
      </c>
      <c r="DM25" s="136">
        <f t="shared" si="196"/>
        <v>66718437478.845268</v>
      </c>
      <c r="DN25" s="16">
        <f t="shared" si="173"/>
        <v>21150566503.23481</v>
      </c>
      <c r="DO25" s="117">
        <f t="shared" si="197"/>
        <v>1821.0175096148926</v>
      </c>
      <c r="DP25" s="135">
        <f t="shared" si="198"/>
        <v>1808.3027208042076</v>
      </c>
      <c r="DQ25" s="5">
        <f t="shared" si="28"/>
        <v>1791.4512380002925</v>
      </c>
      <c r="DR25" s="117">
        <f t="shared" si="29"/>
        <v>31.089174635128355</v>
      </c>
      <c r="DS25" s="135">
        <f t="shared" si="199"/>
        <v>21.901924532563175</v>
      </c>
      <c r="DT25" s="5">
        <f t="shared" si="30"/>
        <v>69.088559985791179</v>
      </c>
      <c r="DU25" s="137">
        <f t="shared" si="31"/>
        <v>26.331737156620051</v>
      </c>
      <c r="DV25" s="138">
        <f t="shared" si="32"/>
        <v>50.15471553676921</v>
      </c>
      <c r="DW25" s="130">
        <f t="shared" si="33"/>
        <v>62.458192491818558</v>
      </c>
      <c r="DX25" s="137">
        <v>27.278373008804749</v>
      </c>
      <c r="DY25" s="138">
        <v>64.218680605869494</v>
      </c>
      <c r="DZ25" s="137">
        <f t="shared" si="34"/>
        <v>31.089174635128348</v>
      </c>
      <c r="EA25" s="138">
        <v>46.368528849611536</v>
      </c>
      <c r="EB25" s="130">
        <v>57.967807135041689</v>
      </c>
      <c r="EC25" s="139">
        <f t="shared" si="35"/>
        <v>0.59452905672251499</v>
      </c>
      <c r="ED25" s="140">
        <f t="shared" si="36"/>
        <v>3.9593207082815858</v>
      </c>
      <c r="EE25" s="139">
        <f t="shared" si="37"/>
        <v>0.59452905672251477</v>
      </c>
      <c r="EF25" s="141">
        <f t="shared" si="38"/>
        <v>3.4833791222485573</v>
      </c>
      <c r="EG25" s="142">
        <f t="shared" si="39"/>
        <v>2.6002099252123143</v>
      </c>
      <c r="EH25" s="117">
        <f t="shared" si="40"/>
        <v>21.962326333880227</v>
      </c>
      <c r="EI25" s="117">
        <f t="shared" si="41"/>
        <v>13.057241158713857</v>
      </c>
      <c r="EJ25" s="135">
        <f t="shared" si="42"/>
        <v>7.7564380292062047</v>
      </c>
      <c r="EK25" s="135">
        <f t="shared" si="43"/>
        <v>27.018614293951639</v>
      </c>
      <c r="EL25" s="143">
        <f t="shared" si="44"/>
        <v>9.5691601494953957</v>
      </c>
      <c r="EM25" s="143">
        <f t="shared" si="45"/>
        <v>24.881825196664082</v>
      </c>
      <c r="EN25" s="144">
        <f t="shared" si="46"/>
        <v>23.267057971497515</v>
      </c>
      <c r="EO25" s="145">
        <f t="shared" si="47"/>
        <v>13.832942028502487</v>
      </c>
      <c r="EP25" s="146">
        <f t="shared" si="48"/>
        <v>9.5691601494953957</v>
      </c>
      <c r="EQ25" s="134">
        <f t="shared" si="49"/>
        <v>24.881825196664082</v>
      </c>
      <c r="ER25" s="130">
        <f t="shared" si="50"/>
        <v>7.6841561703310095</v>
      </c>
      <c r="ES25" s="130">
        <f t="shared" si="51"/>
        <v>26.76682917582847</v>
      </c>
      <c r="ET25" s="117">
        <f t="shared" si="200"/>
        <v>10.499567492594085</v>
      </c>
      <c r="EU25" s="135">
        <f t="shared" si="201"/>
        <v>25.285052323157842</v>
      </c>
      <c r="EV25" s="5">
        <f t="shared" si="52"/>
        <v>22.840985346159478</v>
      </c>
      <c r="EW25" s="145">
        <f t="shared" si="53"/>
        <v>12.64</v>
      </c>
      <c r="EX25" s="134">
        <f t="shared" si="54"/>
        <v>22.784985346159477</v>
      </c>
      <c r="EY25" s="130">
        <f t="shared" si="55"/>
        <v>24.980985346159478</v>
      </c>
      <c r="EZ25" s="117">
        <f t="shared" si="202"/>
        <v>42.820422074201005</v>
      </c>
      <c r="FA25" s="135">
        <f t="shared" si="203"/>
        <v>266.43890751483502</v>
      </c>
      <c r="FB25" s="5">
        <f t="shared" si="174"/>
        <v>196.73544656468113</v>
      </c>
      <c r="FC25" s="145">
        <f t="shared" si="56"/>
        <v>51.676206050695015</v>
      </c>
      <c r="FD25" s="134">
        <f t="shared" si="57"/>
        <v>195.31103502622557</v>
      </c>
      <c r="FE25" s="130">
        <f t="shared" si="58"/>
        <v>263.79076395099764</v>
      </c>
      <c r="FF25" s="117">
        <f t="shared" si="59"/>
        <v>16.513802019226787</v>
      </c>
      <c r="FG25" s="135">
        <f t="shared" si="175"/>
        <v>19.63449522498599</v>
      </c>
      <c r="FH25" s="5">
        <f t="shared" si="60"/>
        <v>13.931053071526502</v>
      </c>
      <c r="FI25" s="145">
        <f t="shared" si="61"/>
        <v>16.513802019226787</v>
      </c>
      <c r="FJ25" s="134">
        <f t="shared" si="62"/>
        <v>13.931053071526502</v>
      </c>
      <c r="FK25" s="145">
        <f t="shared" si="63"/>
        <v>19.497402386025374</v>
      </c>
      <c r="FL25" s="134">
        <f t="shared" si="64"/>
        <v>13.931053071526502</v>
      </c>
      <c r="FM25" s="130">
        <v>13.133698870335673</v>
      </c>
      <c r="FN25" s="111">
        <v>89.4</v>
      </c>
      <c r="FO25" s="147">
        <f t="shared" si="65"/>
        <v>2.8755990163529446</v>
      </c>
      <c r="FP25" s="148">
        <f t="shared" si="66"/>
        <v>4.0818330766815745</v>
      </c>
      <c r="FQ25" s="149">
        <f t="shared" si="67"/>
        <v>1.2939913643935566</v>
      </c>
      <c r="FR25" s="150">
        <f t="shared" si="68"/>
        <v>3.2165537095670514E-2</v>
      </c>
      <c r="FS25" s="151">
        <f t="shared" si="68"/>
        <v>4.5658088106057877E-2</v>
      </c>
      <c r="FT25" s="122">
        <f t="shared" si="68"/>
        <v>1.4474176335498395E-2</v>
      </c>
      <c r="FU25" s="152">
        <f t="shared" si="69"/>
        <v>1.1933414262493764</v>
      </c>
      <c r="FV25" s="140">
        <f t="shared" si="70"/>
        <v>0.68689424269394805</v>
      </c>
      <c r="FW25" s="153">
        <f t="shared" si="71"/>
        <v>0.55158473166946409</v>
      </c>
      <c r="FX25" s="152">
        <f t="shared" si="72"/>
        <v>1.6701578733522127</v>
      </c>
      <c r="FY25" s="140">
        <f t="shared" si="73"/>
        <v>0.49864963683198349</v>
      </c>
      <c r="FZ25" s="140">
        <f t="shared" si="176"/>
        <v>35.718500620085301</v>
      </c>
      <c r="GA25" s="153">
        <f t="shared" si="176"/>
        <v>28.682406046812133</v>
      </c>
      <c r="GB25" s="152">
        <f t="shared" si="74"/>
        <v>3.7976985492907005E-2</v>
      </c>
      <c r="GC25" s="154">
        <f t="shared" si="75"/>
        <v>1.4474176335498393E-2</v>
      </c>
      <c r="GD25" s="152">
        <f t="shared" si="76"/>
        <v>3.2165537095670521E-2</v>
      </c>
      <c r="GE25" s="154">
        <f t="shared" si="77"/>
        <v>1.9938304689753137E-2</v>
      </c>
      <c r="GF25" s="155">
        <f t="shared" si="78"/>
        <v>1.6982729034589888E-2</v>
      </c>
      <c r="GG25" s="152">
        <f t="shared" si="79"/>
        <v>366.82882779436028</v>
      </c>
      <c r="GH25" s="134">
        <f t="shared" si="80"/>
        <v>34.450985346159477</v>
      </c>
      <c r="GI25" s="130">
        <f t="shared" si="81"/>
        <v>34.450985346159477</v>
      </c>
      <c r="GJ25" s="152">
        <f t="shared" si="82"/>
        <v>1.035950376025484</v>
      </c>
      <c r="GK25" s="154">
        <f t="shared" si="82"/>
        <v>0.92951250712240585</v>
      </c>
      <c r="GL25" s="152">
        <f t="shared" si="82"/>
        <v>0.99999999999999989</v>
      </c>
      <c r="GM25" s="154">
        <f t="shared" si="82"/>
        <v>0.92450985621916337</v>
      </c>
      <c r="GN25" s="154">
        <f t="shared" si="82"/>
        <v>0.98445156130377942</v>
      </c>
      <c r="GO25" s="112">
        <f t="shared" si="177"/>
        <v>0.53117531143999785</v>
      </c>
      <c r="GP25" s="156">
        <f t="shared" si="177"/>
        <v>0.89647351290038313</v>
      </c>
      <c r="GQ25" s="115">
        <f t="shared" si="177"/>
        <v>0.20164051869646113</v>
      </c>
      <c r="GR25" s="117">
        <f t="shared" si="204"/>
        <v>367.19091519408482</v>
      </c>
      <c r="GS25" s="135">
        <f t="shared" si="178"/>
        <v>1621.0954925066687</v>
      </c>
      <c r="GT25" s="5">
        <f t="shared" si="178"/>
        <v>361.22915684979642</v>
      </c>
      <c r="GU25" s="130">
        <f t="shared" si="83"/>
        <v>399.57612085721246</v>
      </c>
      <c r="GV25" s="145">
        <f t="shared" si="84"/>
        <v>967.27954280738015</v>
      </c>
      <c r="GW25" s="134">
        <f t="shared" si="85"/>
        <v>388.62215847755851</v>
      </c>
      <c r="GX25" s="157">
        <f t="shared" si="179"/>
        <v>0.62714441971691415</v>
      </c>
      <c r="GY25" s="154">
        <f t="shared" si="86"/>
        <v>0.2016405186964611</v>
      </c>
      <c r="GZ25" s="157">
        <f t="shared" si="86"/>
        <v>0.62714441971691415</v>
      </c>
      <c r="HA25" s="154">
        <f t="shared" si="86"/>
        <v>0.2777615807892167</v>
      </c>
      <c r="HB25" s="155">
        <f t="shared" si="86"/>
        <v>0.22304604913681006</v>
      </c>
      <c r="HC25" s="157">
        <f t="shared" si="87"/>
        <v>0.60538075397299396</v>
      </c>
      <c r="HD25" s="154">
        <f t="shared" si="88"/>
        <v>0.21693147445718816</v>
      </c>
      <c r="HE25" s="144">
        <v>89.4</v>
      </c>
      <c r="HF25" s="146"/>
      <c r="HG25" s="158">
        <f t="shared" si="89"/>
        <v>138.89191959676552</v>
      </c>
      <c r="HH25" s="2">
        <f t="shared" si="90"/>
        <v>89.78874216631327</v>
      </c>
      <c r="HI25" s="2">
        <f t="shared" si="91"/>
        <v>95.727574477374318</v>
      </c>
      <c r="HJ25" s="2">
        <f t="shared" si="92"/>
        <v>97.375328083989501</v>
      </c>
      <c r="HK25" s="2">
        <f t="shared" si="93"/>
        <v>142.14924882518304</v>
      </c>
      <c r="HL25" s="2">
        <f t="shared" si="180"/>
        <v>97.686046684877596</v>
      </c>
      <c r="HM25" s="2">
        <f t="shared" si="94"/>
        <v>153.9030943077986</v>
      </c>
      <c r="HN25" s="2">
        <f t="shared" si="95"/>
        <v>106.62094595192248</v>
      </c>
      <c r="HO25" s="2">
        <f t="shared" si="181"/>
        <v>76.976301265352532</v>
      </c>
      <c r="HP25" s="2">
        <f t="shared" si="96"/>
        <v>90.203551439911692</v>
      </c>
      <c r="HQ25" s="2">
        <f t="shared" si="182"/>
        <v>88.16673980420974</v>
      </c>
      <c r="HR25" s="159">
        <f t="shared" si="97"/>
        <v>143.98807310733071</v>
      </c>
      <c r="HS25" s="12">
        <f t="shared" si="98"/>
        <v>111.6588115460373</v>
      </c>
      <c r="HT25" s="12">
        <f t="shared" si="99"/>
        <v>85.97728126006939</v>
      </c>
      <c r="HU25" s="12">
        <f t="shared" si="100"/>
        <v>91.844802309142835</v>
      </c>
      <c r="HV25" s="12">
        <f t="shared" si="101"/>
        <v>125.62952949908083</v>
      </c>
      <c r="HW25" s="12">
        <f t="shared" si="183"/>
        <v>88.283939884615194</v>
      </c>
      <c r="HX25" s="12">
        <f t="shared" si="102"/>
        <v>136.84727968100688</v>
      </c>
      <c r="HY25" s="12">
        <f t="shared" si="103"/>
        <v>117.17225229151261</v>
      </c>
      <c r="HZ25" s="12">
        <f t="shared" si="104"/>
        <v>78.925312184379663</v>
      </c>
      <c r="IA25" s="12">
        <f t="shared" si="105"/>
        <v>92.190892305041089</v>
      </c>
      <c r="IB25" s="12">
        <f t="shared" si="184"/>
        <v>92.951250712240579</v>
      </c>
      <c r="IC25" s="158">
        <f t="shared" si="106"/>
        <v>158.29518653324007</v>
      </c>
      <c r="ID25" s="2">
        <f t="shared" si="107"/>
        <v>95.118997471475069</v>
      </c>
      <c r="IE25" s="2">
        <f t="shared" si="108"/>
        <v>101.41453100075137</v>
      </c>
      <c r="IF25" s="2">
        <f t="shared" si="109"/>
        <v>97.375328083989501</v>
      </c>
      <c r="IG25" s="2">
        <f t="shared" si="110"/>
        <v>141.46442887412405</v>
      </c>
      <c r="IH25" s="2">
        <f t="shared" si="185"/>
        <v>97.686046684877596</v>
      </c>
      <c r="II25" s="2">
        <f t="shared" si="111"/>
        <v>154.61857562272303</v>
      </c>
      <c r="IJ25" s="2">
        <f t="shared" si="112"/>
        <v>106.62094595192244</v>
      </c>
      <c r="IK25" s="2">
        <f t="shared" si="113"/>
        <v>92.668621700879754</v>
      </c>
      <c r="IL25" s="2">
        <f t="shared" si="114"/>
        <v>63.1687688446004</v>
      </c>
      <c r="IM25" s="2">
        <f t="shared" si="186"/>
        <v>99.999999999999986</v>
      </c>
      <c r="IN25" s="159">
        <f t="shared" si="115"/>
        <v>141.58329419728713</v>
      </c>
      <c r="IO25" s="12">
        <f t="shared" si="116"/>
        <v>82.026059913384159</v>
      </c>
      <c r="IP25" s="12">
        <f t="shared" si="117"/>
        <v>96.291893175944594</v>
      </c>
      <c r="IQ25" s="12">
        <f t="shared" si="118"/>
        <v>91.844802309142835</v>
      </c>
      <c r="IR25" s="12">
        <f t="shared" si="119"/>
        <v>125.62952949908083</v>
      </c>
      <c r="IS25" s="12">
        <f t="shared" si="187"/>
        <v>89.312405398461962</v>
      </c>
      <c r="IT25" s="12">
        <f t="shared" si="120"/>
        <v>136.84727968100688</v>
      </c>
      <c r="IU25" s="12">
        <f t="shared" si="121"/>
        <v>117.38354800203663</v>
      </c>
      <c r="IV25" s="12">
        <f t="shared" si="122"/>
        <v>88.177187872134198</v>
      </c>
      <c r="IW25" s="12">
        <f t="shared" si="123"/>
        <v>65.371490786075853</v>
      </c>
      <c r="IX25" s="12">
        <f t="shared" si="188"/>
        <v>92.450985621916331</v>
      </c>
      <c r="IY25" s="160">
        <f t="shared" si="124"/>
        <v>143.69808412256242</v>
      </c>
      <c r="IZ25" s="25">
        <f t="shared" si="125"/>
        <v>81.142092611731869</v>
      </c>
      <c r="JA25" s="25">
        <f t="shared" si="126"/>
        <v>95.459447845322643</v>
      </c>
      <c r="JB25" s="25">
        <f t="shared" si="127"/>
        <v>91.844802309142835</v>
      </c>
      <c r="JC25" s="25">
        <f t="shared" si="128"/>
        <v>125.62952949908083</v>
      </c>
      <c r="JD25" s="25">
        <f t="shared" si="189"/>
        <v>88.33506896507329</v>
      </c>
      <c r="JE25" s="25">
        <f t="shared" si="129"/>
        <v>129.01472367716769</v>
      </c>
      <c r="JF25" s="25">
        <f t="shared" si="130"/>
        <v>117.6666212529661</v>
      </c>
      <c r="JG25" s="25">
        <f t="shared" si="131"/>
        <v>89.090532618257768</v>
      </c>
      <c r="JH25" s="25">
        <f t="shared" si="132"/>
        <v>68.47874610721729</v>
      </c>
      <c r="JI25" s="25">
        <f t="shared" si="190"/>
        <v>98.445156130377939</v>
      </c>
    </row>
    <row r="26" spans="1:269" x14ac:dyDescent="0.35">
      <c r="A26" s="109">
        <v>2011</v>
      </c>
      <c r="B26" s="110">
        <v>825154000000</v>
      </c>
      <c r="C26" s="111">
        <v>88.7</v>
      </c>
      <c r="D26" s="112">
        <f t="shared" si="133"/>
        <v>0.88700000000000001</v>
      </c>
      <c r="E26" s="111">
        <f t="shared" si="134"/>
        <v>9302750845.5467873</v>
      </c>
      <c r="F26" s="113">
        <f t="shared" si="135"/>
        <v>930275084554.67871</v>
      </c>
      <c r="G26" s="114">
        <v>58211000000</v>
      </c>
      <c r="H26" s="110">
        <v>14796000000</v>
      </c>
      <c r="I26" s="110">
        <v>294563000000</v>
      </c>
      <c r="J26" s="110">
        <v>103471000000</v>
      </c>
      <c r="K26" s="112">
        <v>85</v>
      </c>
      <c r="L26" s="112">
        <f t="shared" si="136"/>
        <v>0.85</v>
      </c>
      <c r="M26" s="112">
        <f t="shared" si="137"/>
        <v>684835294.11764705</v>
      </c>
      <c r="N26" s="112">
        <f t="shared" si="138"/>
        <v>3465447058.8235292</v>
      </c>
      <c r="O26" s="112">
        <f t="shared" si="139"/>
        <v>3465447058.8235292</v>
      </c>
      <c r="P26" s="112">
        <f t="shared" si="140"/>
        <v>68483529411.764709</v>
      </c>
      <c r="Q26" s="112">
        <f t="shared" si="141"/>
        <v>17407058823.529411</v>
      </c>
      <c r="R26" s="112">
        <f t="shared" si="142"/>
        <v>346544705882.35297</v>
      </c>
      <c r="S26" s="115">
        <f t="shared" si="143"/>
        <v>432435294117.64709</v>
      </c>
      <c r="T26" s="112">
        <f t="shared" si="144"/>
        <v>1217305882.3529413</v>
      </c>
      <c r="U26" s="115">
        <f t="shared" si="145"/>
        <v>121730588235.29413</v>
      </c>
      <c r="V26" s="116">
        <f t="shared" si="146"/>
        <v>1484440966907.6199</v>
      </c>
      <c r="W26" s="117">
        <f t="shared" si="147"/>
        <v>1296195000000</v>
      </c>
      <c r="X26" s="112">
        <v>82.265725000000003</v>
      </c>
      <c r="Y26" s="112">
        <f t="shared" si="148"/>
        <v>0.82265725000000001</v>
      </c>
      <c r="Z26" s="112">
        <f t="shared" si="149"/>
        <v>1575619737138.4011</v>
      </c>
      <c r="AA26" s="115">
        <v>0.24640685066090254</v>
      </c>
      <c r="AB26" s="115">
        <v>0.32191361460256751</v>
      </c>
      <c r="AC26" s="115">
        <f t="shared" si="150"/>
        <v>0.56832046526347002</v>
      </c>
      <c r="AD26" s="118">
        <v>0.29096689523652669</v>
      </c>
      <c r="AE26" s="115">
        <f t="shared" si="151"/>
        <v>0.85928736049999666</v>
      </c>
      <c r="AF26" s="115">
        <f t="shared" si="152"/>
        <v>0.14071263950000323</v>
      </c>
      <c r="AG26" s="119">
        <v>0.24164961864836296</v>
      </c>
      <c r="AH26" s="119">
        <v>0.33517918220351239</v>
      </c>
      <c r="AI26" s="119">
        <f t="shared" si="153"/>
        <v>0.57682880085187538</v>
      </c>
      <c r="AJ26" s="16">
        <v>2773000</v>
      </c>
      <c r="AK26" s="120">
        <v>23107000</v>
      </c>
      <c r="AL26" s="121">
        <f t="shared" si="154"/>
        <v>25880000</v>
      </c>
      <c r="AM26" s="122">
        <v>0.18635250000000003</v>
      </c>
      <c r="AN26" s="123">
        <f t="shared" si="191"/>
        <v>4306047.2175000012</v>
      </c>
      <c r="AO26" s="124">
        <f t="shared" si="205"/>
        <v>0.81364749999999997</v>
      </c>
      <c r="AP26" s="123">
        <f t="shared" si="155"/>
        <v>18800952.782499999</v>
      </c>
      <c r="AQ26" s="125">
        <v>0.47138160000000001</v>
      </c>
      <c r="AR26" s="123">
        <f t="shared" si="156"/>
        <v>8862423.2041393016</v>
      </c>
      <c r="AS26" s="123">
        <f t="shared" si="157"/>
        <v>9938529.5783606991</v>
      </c>
      <c r="AT26" s="115">
        <f t="shared" si="0"/>
        <v>497.40292970532806</v>
      </c>
      <c r="AU26" s="126">
        <v>0.68107300000000004</v>
      </c>
      <c r="AV26" s="123">
        <f t="shared" si="1"/>
        <v>2932732.4965643785</v>
      </c>
      <c r="AW26" s="123">
        <f t="shared" si="158"/>
        <v>1373314.7209356227</v>
      </c>
      <c r="AX26" s="127">
        <f t="shared" si="159"/>
        <v>11795155.700703681</v>
      </c>
      <c r="AY26" s="127">
        <f t="shared" si="159"/>
        <v>11311844.299296321</v>
      </c>
      <c r="AZ26" s="16">
        <f t="shared" si="2"/>
        <v>75854986263.323425</v>
      </c>
      <c r="BA26" s="16">
        <f t="shared" si="3"/>
        <v>45875601971.970703</v>
      </c>
      <c r="BB26" s="16">
        <f t="shared" si="4"/>
        <v>229226153833.42319</v>
      </c>
      <c r="BC26" s="16">
        <f t="shared" si="5"/>
        <v>299468215043.70575</v>
      </c>
      <c r="BD26" s="17">
        <f t="shared" si="6"/>
        <v>270679253068.77222</v>
      </c>
      <c r="BE26" s="16">
        <f t="shared" si="160"/>
        <v>799373621945.90112</v>
      </c>
      <c r="BF26" s="117">
        <v>930275084554.67871</v>
      </c>
      <c r="BG26" s="116">
        <f t="shared" si="161"/>
        <v>0.85928736049999666</v>
      </c>
      <c r="BH26" s="115">
        <v>0.85928736049999666</v>
      </c>
      <c r="BI26" s="17">
        <v>15135062.272645138</v>
      </c>
      <c r="BJ26" s="7">
        <f t="shared" si="162"/>
        <v>799373621945.90112</v>
      </c>
      <c r="BK26" s="16">
        <f t="shared" si="163"/>
        <v>305081140096.74658</v>
      </c>
      <c r="BL26" s="112">
        <f t="shared" si="7"/>
        <v>35945.714240907211</v>
      </c>
      <c r="BM26" s="112">
        <f t="shared" si="8"/>
        <v>30887.697911356303</v>
      </c>
      <c r="BN26" s="115">
        <f t="shared" si="9"/>
        <v>25864.952344677054</v>
      </c>
      <c r="BO26" s="112">
        <f t="shared" si="164"/>
        <v>691.2637354020618</v>
      </c>
      <c r="BP26" s="112">
        <f t="shared" si="164"/>
        <v>593.99419060300579</v>
      </c>
      <c r="BQ26" s="115">
        <f t="shared" si="164"/>
        <v>497.40292970532795</v>
      </c>
      <c r="BR26" s="112">
        <f t="shared" si="10"/>
        <v>554165882352.94116</v>
      </c>
      <c r="BS26" s="115">
        <f t="shared" si="11"/>
        <v>1179359826810.8733</v>
      </c>
      <c r="BT26" s="112">
        <f t="shared" si="12"/>
        <v>554165882352.94116</v>
      </c>
      <c r="BU26" s="115">
        <f t="shared" si="13"/>
        <v>777779111133.32349</v>
      </c>
      <c r="BV26" s="118">
        <f t="shared" si="14"/>
        <v>1048458364202.0957</v>
      </c>
      <c r="BW26" s="112">
        <f t="shared" si="15"/>
        <v>57358.615413741107</v>
      </c>
      <c r="BX26" s="115">
        <f t="shared" si="16"/>
        <v>125851.74834267431</v>
      </c>
      <c r="BY26" s="128">
        <f t="shared" si="17"/>
        <v>1284488037015.8694</v>
      </c>
      <c r="BZ26" s="119">
        <f t="shared" si="18"/>
        <v>1378743329841.073</v>
      </c>
      <c r="CA26" s="113">
        <v>37</v>
      </c>
      <c r="CB26" s="113">
        <v>15.6</v>
      </c>
      <c r="CC26" s="113">
        <v>9.4</v>
      </c>
      <c r="CD26" s="113">
        <v>18433128.655109871</v>
      </c>
      <c r="CE26" s="113">
        <v>6684388.2588030472</v>
      </c>
      <c r="CF26" s="113">
        <v>1146042.1292673287</v>
      </c>
      <c r="CG26" s="113">
        <f t="shared" si="165"/>
        <v>26263559.043180246</v>
      </c>
      <c r="CH26" s="113">
        <v>25880000</v>
      </c>
      <c r="CI26" s="113">
        <f t="shared" si="166"/>
        <v>-383559.04318024591</v>
      </c>
      <c r="CJ26" s="122">
        <f t="shared" si="167"/>
        <v>0.70185189390378255</v>
      </c>
      <c r="CK26" s="122">
        <f t="shared" si="168"/>
        <v>0.25451189794243656</v>
      </c>
      <c r="CL26" s="122">
        <f t="shared" si="169"/>
        <v>4.3636208153780928E-2</v>
      </c>
      <c r="CM26" s="129">
        <f t="shared" si="19"/>
        <v>30.349086038987512</v>
      </c>
      <c r="CN26" s="16">
        <v>927560973.37429488</v>
      </c>
      <c r="CO26" s="16">
        <f t="shared" si="20"/>
        <v>797075013.09150577</v>
      </c>
      <c r="CP26" s="130">
        <v>31.46</v>
      </c>
      <c r="CQ26" s="131">
        <f t="shared" si="192"/>
        <v>29.238172077975022</v>
      </c>
      <c r="CR26" s="5">
        <v>32.869999999999997</v>
      </c>
      <c r="CS26" s="132">
        <v>37.17</v>
      </c>
      <c r="CT26" s="5">
        <f t="shared" si="21"/>
        <v>33.939146525507454</v>
      </c>
      <c r="CU26" s="5">
        <v>32.75</v>
      </c>
      <c r="CV26" s="5">
        <v>38.39</v>
      </c>
      <c r="CW26" s="133"/>
      <c r="CX26" s="134">
        <v>35.51</v>
      </c>
      <c r="CY26" s="5">
        <f t="shared" si="193"/>
        <v>33.045943990398619</v>
      </c>
      <c r="CZ26" s="5">
        <f t="shared" si="170"/>
        <v>34.468804530408384</v>
      </c>
      <c r="DA26" s="5">
        <f t="shared" si="194"/>
        <v>34.244469999007364</v>
      </c>
      <c r="DB26" s="117">
        <f t="shared" si="171"/>
        <v>1792.377835581236</v>
      </c>
      <c r="DC26" s="135">
        <f t="shared" si="171"/>
        <v>1780.712439948383</v>
      </c>
      <c r="DD26" s="5">
        <f t="shared" si="22"/>
        <v>1764.8356193263876</v>
      </c>
      <c r="DE26" s="131">
        <f t="shared" si="23"/>
        <v>369672468.35557294</v>
      </c>
      <c r="DF26" s="5">
        <f t="shared" si="24"/>
        <v>291307850.7200588</v>
      </c>
      <c r="DG26" s="131">
        <f t="shared" si="25"/>
        <v>534119144.74458724</v>
      </c>
      <c r="DH26" s="5">
        <f t="shared" si="26"/>
        <v>109009666.89729795</v>
      </c>
      <c r="DI26" s="7">
        <f t="shared" si="195"/>
        <v>892052661.24696898</v>
      </c>
      <c r="DJ26" s="136">
        <f t="shared" si="172"/>
        <v>1273614996.3150058</v>
      </c>
      <c r="DK26" s="16">
        <f t="shared" si="27"/>
        <v>400317517.61735678</v>
      </c>
      <c r="DL26" s="7">
        <f t="shared" si="196"/>
        <v>46386738384.842384</v>
      </c>
      <c r="DM26" s="136">
        <f t="shared" si="196"/>
        <v>66227979808.380302</v>
      </c>
      <c r="DN26" s="16">
        <f t="shared" si="173"/>
        <v>20816510916.102554</v>
      </c>
      <c r="DO26" s="117">
        <f t="shared" si="197"/>
        <v>1792.3778355812358</v>
      </c>
      <c r="DP26" s="135">
        <f t="shared" si="198"/>
        <v>1780.7124399483828</v>
      </c>
      <c r="DQ26" s="5">
        <f t="shared" si="28"/>
        <v>1764.8356193263878</v>
      </c>
      <c r="DR26" s="117">
        <f t="shared" si="29"/>
        <v>32.001408561906672</v>
      </c>
      <c r="DS26" s="135">
        <f t="shared" si="199"/>
        <v>22.414106110477839</v>
      </c>
      <c r="DT26" s="5">
        <f t="shared" si="30"/>
        <v>71.310748131154611</v>
      </c>
      <c r="DU26" s="137">
        <f t="shared" si="31"/>
        <v>27.498405895442779</v>
      </c>
      <c r="DV26" s="138">
        <f t="shared" si="32"/>
        <v>52.019296393826814</v>
      </c>
      <c r="DW26" s="130">
        <f t="shared" si="33"/>
        <v>65.022400235757843</v>
      </c>
      <c r="DX26" s="137">
        <v>27.690846171577277</v>
      </c>
      <c r="DY26" s="138">
        <v>66.233161522498463</v>
      </c>
      <c r="DZ26" s="137">
        <f t="shared" si="34"/>
        <v>32.001408561906672</v>
      </c>
      <c r="EA26" s="138">
        <v>48.171715694922156</v>
      </c>
      <c r="EB26" s="130">
        <v>60.345753130215641</v>
      </c>
      <c r="EC26" s="139">
        <f t="shared" si="35"/>
        <v>0.59570109052014386</v>
      </c>
      <c r="ED26" s="140">
        <f t="shared" si="36"/>
        <v>3.8657251196743188</v>
      </c>
      <c r="EE26" s="139">
        <f t="shared" si="37"/>
        <v>0.59570109052014386</v>
      </c>
      <c r="EF26" s="141">
        <f t="shared" si="38"/>
        <v>3.43665414345053</v>
      </c>
      <c r="EG26" s="142">
        <f t="shared" si="39"/>
        <v>2.5494172169629237</v>
      </c>
      <c r="EH26" s="117">
        <f t="shared" si="40"/>
        <v>21.601040906209281</v>
      </c>
      <c r="EI26" s="117">
        <f t="shared" si="41"/>
        <v>12.867763624199103</v>
      </c>
      <c r="EJ26" s="135">
        <f t="shared" si="42"/>
        <v>7.7185349346105045</v>
      </c>
      <c r="EK26" s="135">
        <f t="shared" si="43"/>
        <v>26.525935064396862</v>
      </c>
      <c r="EL26" s="143">
        <f t="shared" si="44"/>
        <v>9.5618926857371953</v>
      </c>
      <c r="EM26" s="143">
        <f t="shared" si="45"/>
        <v>24.377253839770258</v>
      </c>
      <c r="EN26" s="144">
        <f t="shared" si="46"/>
        <v>23.187300065038666</v>
      </c>
      <c r="EO26" s="145">
        <f t="shared" si="47"/>
        <v>13.812699934961334</v>
      </c>
      <c r="EP26" s="146">
        <f t="shared" si="48"/>
        <v>9.5618926857371953</v>
      </c>
      <c r="EQ26" s="134">
        <f t="shared" si="49"/>
        <v>24.377253839770258</v>
      </c>
      <c r="ER26" s="130">
        <f t="shared" si="50"/>
        <v>7.649716526948362</v>
      </c>
      <c r="ES26" s="130">
        <f t="shared" si="51"/>
        <v>26.289429998559093</v>
      </c>
      <c r="ET26" s="117">
        <f t="shared" si="200"/>
        <v>9.9488045304083847</v>
      </c>
      <c r="EU26" s="135">
        <f t="shared" si="201"/>
        <v>24.754469999007362</v>
      </c>
      <c r="EV26" s="5">
        <f t="shared" si="52"/>
        <v>22.329146525507454</v>
      </c>
      <c r="EW26" s="145">
        <f t="shared" si="53"/>
        <v>12.54</v>
      </c>
      <c r="EX26" s="134">
        <f t="shared" si="54"/>
        <v>22.273146525507453</v>
      </c>
      <c r="EY26" s="130">
        <f t="shared" si="55"/>
        <v>24.469146525507455</v>
      </c>
      <c r="EZ26" s="117">
        <f t="shared" si="202"/>
        <v>40.57424359872914</v>
      </c>
      <c r="FA26" s="135">
        <f t="shared" si="203"/>
        <v>260.84794519501963</v>
      </c>
      <c r="FB26" s="5">
        <f t="shared" si="174"/>
        <v>192.32684345828989</v>
      </c>
      <c r="FC26" s="145">
        <f t="shared" si="56"/>
        <v>51.267375306623052</v>
      </c>
      <c r="FD26" s="134">
        <f t="shared" si="57"/>
        <v>190.92359442403097</v>
      </c>
      <c r="FE26" s="130">
        <f t="shared" si="58"/>
        <v>258.38591895995199</v>
      </c>
      <c r="FF26" s="117">
        <f t="shared" si="59"/>
        <v>17.232805102915133</v>
      </c>
      <c r="FG26" s="135">
        <f t="shared" si="175"/>
        <v>20.1861420375932</v>
      </c>
      <c r="FH26" s="5">
        <f t="shared" si="60"/>
        <v>14.655728874369235</v>
      </c>
      <c r="FI26" s="145">
        <f t="shared" si="61"/>
        <v>17.232805102915133</v>
      </c>
      <c r="FJ26" s="134">
        <f t="shared" si="62"/>
        <v>14.655728874369235</v>
      </c>
      <c r="FK26" s="145">
        <f t="shared" si="63"/>
        <v>20.05476386023858</v>
      </c>
      <c r="FL26" s="134">
        <f t="shared" si="64"/>
        <v>14.655728874369235</v>
      </c>
      <c r="FM26" s="130">
        <v>13.721292556530633</v>
      </c>
      <c r="FN26" s="111">
        <v>93.4</v>
      </c>
      <c r="FO26" s="147">
        <f t="shared" si="65"/>
        <v>2.9186215294029281</v>
      </c>
      <c r="FP26" s="148">
        <f t="shared" si="66"/>
        <v>4.1670187309561566</v>
      </c>
      <c r="FQ26" s="149">
        <f t="shared" si="67"/>
        <v>1.3097604841870243</v>
      </c>
      <c r="FR26" s="150">
        <f t="shared" si="68"/>
        <v>3.124862451180865E-2</v>
      </c>
      <c r="FS26" s="151">
        <f t="shared" si="68"/>
        <v>4.4614761573406388E-2</v>
      </c>
      <c r="FT26" s="122">
        <f t="shared" si="68"/>
        <v>1.4023131522345014E-2</v>
      </c>
      <c r="FU26" s="152">
        <f t="shared" si="69"/>
        <v>1.15619910693692</v>
      </c>
      <c r="FV26" s="140">
        <f t="shared" si="70"/>
        <v>0.65243378665796503</v>
      </c>
      <c r="FW26" s="153">
        <f t="shared" si="71"/>
        <v>0.52196083814887007</v>
      </c>
      <c r="FX26" s="152">
        <f t="shared" si="72"/>
        <v>1.5821321657764782</v>
      </c>
      <c r="FY26" s="140">
        <f t="shared" si="73"/>
        <v>0.47593311548332984</v>
      </c>
      <c r="FZ26" s="140">
        <f t="shared" si="176"/>
        <v>33.926556906214181</v>
      </c>
      <c r="GA26" s="153">
        <f t="shared" si="176"/>
        <v>27.141963583741244</v>
      </c>
      <c r="GB26" s="152">
        <f t="shared" si="74"/>
        <v>3.6365744392685931E-2</v>
      </c>
      <c r="GC26" s="154">
        <f t="shared" si="75"/>
        <v>1.4023131522345012E-2</v>
      </c>
      <c r="GD26" s="152">
        <f t="shared" si="76"/>
        <v>3.1248624511808647E-2</v>
      </c>
      <c r="GE26" s="154">
        <f t="shared" si="77"/>
        <v>1.9223635637614488E-2</v>
      </c>
      <c r="GF26" s="155">
        <f t="shared" si="78"/>
        <v>1.6426665021263269E-2</v>
      </c>
      <c r="GG26" s="152">
        <f t="shared" si="79"/>
        <v>403.00918128096595</v>
      </c>
      <c r="GH26" s="134">
        <f t="shared" si="80"/>
        <v>33.939146525507454</v>
      </c>
      <c r="GI26" s="130">
        <f t="shared" si="81"/>
        <v>33.939146525507454</v>
      </c>
      <c r="GJ26" s="152">
        <f t="shared" si="82"/>
        <v>1.006998233892765</v>
      </c>
      <c r="GK26" s="154">
        <f t="shared" si="82"/>
        <v>0.92879633517071691</v>
      </c>
      <c r="GL26" s="152">
        <f t="shared" si="82"/>
        <v>0.99999999999999989</v>
      </c>
      <c r="GM26" s="154">
        <f t="shared" si="82"/>
        <v>0.92603551055793876</v>
      </c>
      <c r="GN26" s="154">
        <f t="shared" si="82"/>
        <v>0.99127947212590173</v>
      </c>
      <c r="GO26" s="112">
        <f t="shared" si="177"/>
        <v>0.53850145594617504</v>
      </c>
      <c r="GP26" s="156">
        <f t="shared" si="177"/>
        <v>0.90059991409413642</v>
      </c>
      <c r="GQ26" s="115">
        <f t="shared" si="177"/>
        <v>0.20551921356110922</v>
      </c>
      <c r="GR26" s="117">
        <f t="shared" si="204"/>
        <v>368.3680831730187</v>
      </c>
      <c r="GS26" s="135">
        <f t="shared" si="178"/>
        <v>1603.7094704438737</v>
      </c>
      <c r="GT26" s="5">
        <f t="shared" si="178"/>
        <v>362.70762854859237</v>
      </c>
      <c r="GU26" s="130">
        <f t="shared" si="83"/>
        <v>397.78525940131487</v>
      </c>
      <c r="GV26" s="145">
        <f t="shared" si="84"/>
        <v>965.19807406614939</v>
      </c>
      <c r="GW26" s="134">
        <f t="shared" si="85"/>
        <v>390.51363018344063</v>
      </c>
      <c r="GX26" s="157">
        <f t="shared" si="179"/>
        <v>0.62668378554158555</v>
      </c>
      <c r="GY26" s="154">
        <f t="shared" si="86"/>
        <v>0.20551921356110919</v>
      </c>
      <c r="GZ26" s="157">
        <f t="shared" si="86"/>
        <v>0.62668378554158555</v>
      </c>
      <c r="HA26" s="154">
        <f t="shared" si="86"/>
        <v>0.28173639188454008</v>
      </c>
      <c r="HB26" s="155">
        <f t="shared" si="86"/>
        <v>0.2253950764848818</v>
      </c>
      <c r="HC26" s="157">
        <f t="shared" si="87"/>
        <v>0.62232858454875983</v>
      </c>
      <c r="HD26" s="154">
        <f t="shared" si="88"/>
        <v>0.22127478950843818</v>
      </c>
      <c r="HE26" s="144">
        <v>93.4</v>
      </c>
      <c r="HF26" s="146"/>
      <c r="HG26" s="158">
        <f t="shared" si="89"/>
        <v>140.99208844998614</v>
      </c>
      <c r="HH26" s="2">
        <f t="shared" si="90"/>
        <v>88.311696264142597</v>
      </c>
      <c r="HI26" s="2">
        <f t="shared" si="91"/>
        <v>94.338442992662038</v>
      </c>
      <c r="HJ26" s="2">
        <f t="shared" si="92"/>
        <v>97.112860892388454</v>
      </c>
      <c r="HK26" s="2">
        <f t="shared" si="93"/>
        <v>143.91325964645969</v>
      </c>
      <c r="HL26" s="2">
        <f t="shared" si="180"/>
        <v>97.61429681333108</v>
      </c>
      <c r="HM26" s="2">
        <f t="shared" si="94"/>
        <v>160.60396181654363</v>
      </c>
      <c r="HN26" s="2">
        <f t="shared" si="95"/>
        <v>106.83113475729343</v>
      </c>
      <c r="HO26" s="2">
        <f t="shared" si="181"/>
        <v>72.938449636425105</v>
      </c>
      <c r="HP26" s="2">
        <f t="shared" si="96"/>
        <v>91.553107983403748</v>
      </c>
      <c r="HQ26" s="2">
        <f t="shared" si="182"/>
        <v>85.702706737313932</v>
      </c>
      <c r="HR26" s="159">
        <f t="shared" si="97"/>
        <v>148.50484646300103</v>
      </c>
      <c r="HS26" s="12">
        <f t="shared" si="98"/>
        <v>111.57401033532317</v>
      </c>
      <c r="HT26" s="12">
        <f t="shared" si="99"/>
        <v>84.233772770457009</v>
      </c>
      <c r="HU26" s="12">
        <f t="shared" si="100"/>
        <v>90.480262664642638</v>
      </c>
      <c r="HV26" s="12">
        <f t="shared" si="101"/>
        <v>130.20104732212502</v>
      </c>
      <c r="HW26" s="12">
        <f t="shared" si="183"/>
        <v>89.982142539890191</v>
      </c>
      <c r="HX26" s="12">
        <f t="shared" si="102"/>
        <v>143.96590249871548</v>
      </c>
      <c r="HY26" s="12">
        <f t="shared" si="103"/>
        <v>114.40238171782444</v>
      </c>
      <c r="HZ26" s="12">
        <f t="shared" si="104"/>
        <v>77.156691518685051</v>
      </c>
      <c r="IA26" s="12">
        <f t="shared" si="105"/>
        <v>93.314369064336304</v>
      </c>
      <c r="IB26" s="12">
        <f t="shared" si="184"/>
        <v>92.879633517071696</v>
      </c>
      <c r="IC26" s="158">
        <f t="shared" si="106"/>
        <v>162.93996212783438</v>
      </c>
      <c r="ID26" s="2">
        <f t="shared" si="107"/>
        <v>94.7929359594402</v>
      </c>
      <c r="IE26" s="2">
        <f t="shared" si="108"/>
        <v>101.266128555435</v>
      </c>
      <c r="IF26" s="2">
        <f t="shared" si="109"/>
        <v>97.112860892388454</v>
      </c>
      <c r="IG26" s="2">
        <f t="shared" si="110"/>
        <v>145.30200141895841</v>
      </c>
      <c r="IH26" s="2">
        <f t="shared" si="185"/>
        <v>97.61429681333108</v>
      </c>
      <c r="II26" s="2">
        <f t="shared" si="111"/>
        <v>159.03857145312119</v>
      </c>
      <c r="IJ26" s="2">
        <f t="shared" si="112"/>
        <v>106.83113475729343</v>
      </c>
      <c r="IK26" s="2">
        <f t="shared" si="113"/>
        <v>91.93548387096773</v>
      </c>
      <c r="IL26" s="2">
        <f t="shared" si="114"/>
        <v>61.368076417534652</v>
      </c>
      <c r="IM26" s="2">
        <f t="shared" si="186"/>
        <v>99.999999999999986</v>
      </c>
      <c r="IN26" s="159">
        <f t="shared" si="115"/>
        <v>147.08920822876993</v>
      </c>
      <c r="IO26" s="12">
        <f t="shared" si="116"/>
        <v>81.963763807107796</v>
      </c>
      <c r="IP26" s="12">
        <f t="shared" si="117"/>
        <v>94.339217646169729</v>
      </c>
      <c r="IQ26" s="12">
        <f t="shared" si="118"/>
        <v>90.480262664642638</v>
      </c>
      <c r="IR26" s="12">
        <f t="shared" si="119"/>
        <v>130.20104732212502</v>
      </c>
      <c r="IS26" s="12">
        <f t="shared" si="187"/>
        <v>90.590479705639908</v>
      </c>
      <c r="IT26" s="12">
        <f t="shared" si="120"/>
        <v>143.96590249871548</v>
      </c>
      <c r="IU26" s="12">
        <f t="shared" si="121"/>
        <v>115.09056840483778</v>
      </c>
      <c r="IV26" s="12">
        <f t="shared" si="122"/>
        <v>86.196387482613972</v>
      </c>
      <c r="IW26" s="12">
        <f t="shared" si="123"/>
        <v>63.028313565949148</v>
      </c>
      <c r="IX26" s="12">
        <f t="shared" si="188"/>
        <v>92.603551055793872</v>
      </c>
      <c r="IY26" s="160">
        <f t="shared" si="124"/>
        <v>149.59284365447604</v>
      </c>
      <c r="IZ26" s="25">
        <f t="shared" si="125"/>
        <v>80.778421615083019</v>
      </c>
      <c r="JA26" s="25">
        <f t="shared" si="126"/>
        <v>93.756883019112308</v>
      </c>
      <c r="JB26" s="25">
        <f t="shared" si="127"/>
        <v>90.480262664642638</v>
      </c>
      <c r="JC26" s="25">
        <f t="shared" si="128"/>
        <v>130.20104732212502</v>
      </c>
      <c r="JD26" s="25">
        <f t="shared" si="189"/>
        <v>89.265376825695768</v>
      </c>
      <c r="JE26" s="25">
        <f t="shared" si="129"/>
        <v>134.78676381660742</v>
      </c>
      <c r="JF26" s="25">
        <f t="shared" si="130"/>
        <v>116.08827729718922</v>
      </c>
      <c r="JG26" s="25">
        <f t="shared" si="131"/>
        <v>87.265144527487365</v>
      </c>
      <c r="JH26" s="25">
        <f t="shared" si="132"/>
        <v>66.236552505093826</v>
      </c>
      <c r="JI26" s="25">
        <f t="shared" si="190"/>
        <v>99.127947212590172</v>
      </c>
    </row>
    <row r="27" spans="1:269" x14ac:dyDescent="0.35">
      <c r="A27" s="109">
        <v>2012</v>
      </c>
      <c r="B27" s="110">
        <v>840607000000</v>
      </c>
      <c r="C27" s="111">
        <v>89.1</v>
      </c>
      <c r="D27" s="112">
        <f t="shared" si="133"/>
        <v>0.8909999999999999</v>
      </c>
      <c r="E27" s="111">
        <f t="shared" si="134"/>
        <v>9434421997.755331</v>
      </c>
      <c r="F27" s="113">
        <f t="shared" si="135"/>
        <v>943442199775.5332</v>
      </c>
      <c r="G27" s="114">
        <v>59540000000</v>
      </c>
      <c r="H27" s="110">
        <v>15764000000</v>
      </c>
      <c r="I27" s="110">
        <v>307144000000</v>
      </c>
      <c r="J27" s="110">
        <v>107631000000</v>
      </c>
      <c r="K27" s="112">
        <v>87.8</v>
      </c>
      <c r="L27" s="112">
        <f t="shared" si="136"/>
        <v>0.878</v>
      </c>
      <c r="M27" s="112">
        <f t="shared" si="137"/>
        <v>678132118.45102513</v>
      </c>
      <c r="N27" s="112">
        <f t="shared" si="138"/>
        <v>3498223234.624146</v>
      </c>
      <c r="O27" s="112">
        <f t="shared" si="139"/>
        <v>3498223234.624146</v>
      </c>
      <c r="P27" s="112">
        <f t="shared" si="140"/>
        <v>67813211845.102509</v>
      </c>
      <c r="Q27" s="112">
        <f t="shared" si="141"/>
        <v>17954441913.439636</v>
      </c>
      <c r="R27" s="112">
        <f t="shared" si="142"/>
        <v>349822323462.41455</v>
      </c>
      <c r="S27" s="115">
        <f t="shared" si="143"/>
        <v>435589977220.95667</v>
      </c>
      <c r="T27" s="112">
        <f t="shared" si="144"/>
        <v>1225865603.6446469</v>
      </c>
      <c r="U27" s="115">
        <f t="shared" si="145"/>
        <v>122586560364.46469</v>
      </c>
      <c r="V27" s="116">
        <f t="shared" si="146"/>
        <v>1501618737360.9543</v>
      </c>
      <c r="W27" s="117">
        <f t="shared" si="147"/>
        <v>1330686000000</v>
      </c>
      <c r="X27" s="112">
        <v>83.589449999999999</v>
      </c>
      <c r="Y27" s="112">
        <f t="shared" si="148"/>
        <v>0.83589449999999998</v>
      </c>
      <c r="Z27" s="112">
        <f t="shared" si="149"/>
        <v>1591930560615.0059</v>
      </c>
      <c r="AA27" s="115">
        <v>0.25336454808311371</v>
      </c>
      <c r="AB27" s="115">
        <v>0.31410717900708068</v>
      </c>
      <c r="AC27" s="115">
        <f t="shared" si="150"/>
        <v>0.56747172709019433</v>
      </c>
      <c r="AD27" s="118">
        <v>0.288062867351222</v>
      </c>
      <c r="AE27" s="115">
        <f t="shared" si="151"/>
        <v>0.85553459444141633</v>
      </c>
      <c r="AF27" s="115">
        <f t="shared" si="152"/>
        <v>0.14446540555858367</v>
      </c>
      <c r="AG27" s="119">
        <v>0.24737719822047782</v>
      </c>
      <c r="AH27" s="119">
        <v>0.30866029987826854</v>
      </c>
      <c r="AI27" s="119">
        <f t="shared" si="153"/>
        <v>0.55603749809874636</v>
      </c>
      <c r="AJ27" s="16">
        <v>2575000</v>
      </c>
      <c r="AK27" s="120">
        <v>23853000</v>
      </c>
      <c r="AL27" s="121">
        <f t="shared" si="154"/>
        <v>26428000</v>
      </c>
      <c r="AM27" s="122">
        <v>0.20253869999999996</v>
      </c>
      <c r="AN27" s="123">
        <f t="shared" si="191"/>
        <v>4831155.6110999994</v>
      </c>
      <c r="AO27" s="124">
        <f t="shared" si="205"/>
        <v>0.79746130000000004</v>
      </c>
      <c r="AP27" s="123">
        <f t="shared" si="155"/>
        <v>19021844.388900001</v>
      </c>
      <c r="AQ27" s="125">
        <v>0.49139890000000003</v>
      </c>
      <c r="AR27" s="123">
        <f t="shared" si="156"/>
        <v>9347313.4086766336</v>
      </c>
      <c r="AS27" s="123">
        <f t="shared" si="157"/>
        <v>9674530.980223367</v>
      </c>
      <c r="AT27" s="115">
        <f t="shared" si="0"/>
        <v>491.78015143487204</v>
      </c>
      <c r="AU27" s="126">
        <v>0.68831889999999996</v>
      </c>
      <c r="AV27" s="123">
        <f t="shared" si="1"/>
        <v>3325375.7159611792</v>
      </c>
      <c r="AW27" s="123">
        <f t="shared" si="158"/>
        <v>1505779.8951388202</v>
      </c>
      <c r="AX27" s="127">
        <f t="shared" si="159"/>
        <v>12672689.124637812</v>
      </c>
      <c r="AY27" s="127">
        <f t="shared" si="159"/>
        <v>11180310.875362188</v>
      </c>
      <c r="AZ27" s="16">
        <f t="shared" si="2"/>
        <v>85038396205.008209</v>
      </c>
      <c r="BA27" s="16">
        <f t="shared" si="3"/>
        <v>37548164159.456482</v>
      </c>
      <c r="BB27" s="16">
        <f t="shared" si="4"/>
        <v>239034806588.66666</v>
      </c>
      <c r="BC27" s="16">
        <f t="shared" si="5"/>
        <v>296341967927.72736</v>
      </c>
      <c r="BD27" s="17">
        <f t="shared" si="6"/>
        <v>271770665247.4845</v>
      </c>
      <c r="BE27" s="16">
        <f t="shared" si="160"/>
        <v>807147439763.87854</v>
      </c>
      <c r="BF27" s="117">
        <v>943442199775.5332</v>
      </c>
      <c r="BG27" s="116">
        <f t="shared" si="161"/>
        <v>0.85553459444141644</v>
      </c>
      <c r="BH27" s="115">
        <v>0.85553459444141633</v>
      </c>
      <c r="BI27" s="17">
        <v>13126105.361569814</v>
      </c>
      <c r="BJ27" s="7">
        <f t="shared" si="162"/>
        <v>807147439763.87854</v>
      </c>
      <c r="BK27" s="16">
        <f t="shared" si="163"/>
        <v>324073202793.67487</v>
      </c>
      <c r="BL27" s="112">
        <f t="shared" si="7"/>
        <v>35698.584825773163</v>
      </c>
      <c r="BM27" s="112">
        <f t="shared" si="8"/>
        <v>30541.374291050346</v>
      </c>
      <c r="BN27" s="115">
        <f t="shared" si="9"/>
        <v>25572.567874613349</v>
      </c>
      <c r="BO27" s="112">
        <f t="shared" si="164"/>
        <v>686.51124664948395</v>
      </c>
      <c r="BP27" s="112">
        <f t="shared" si="164"/>
        <v>587.33412098173744</v>
      </c>
      <c r="BQ27" s="115">
        <f t="shared" si="164"/>
        <v>491.7801514348721</v>
      </c>
      <c r="BR27" s="112">
        <f t="shared" si="10"/>
        <v>558176537585.42114</v>
      </c>
      <c r="BS27" s="115">
        <f t="shared" si="11"/>
        <v>1177545534567.2795</v>
      </c>
      <c r="BT27" s="112">
        <f t="shared" si="12"/>
        <v>558176537585.42139</v>
      </c>
      <c r="BU27" s="115">
        <f t="shared" si="13"/>
        <v>769480109308.1405</v>
      </c>
      <c r="BV27" s="118">
        <f t="shared" si="14"/>
        <v>1041250774555.625</v>
      </c>
      <c r="BW27" s="112">
        <f t="shared" si="15"/>
        <v>56819.234802518324</v>
      </c>
      <c r="BX27" s="115">
        <f t="shared" si="16"/>
        <v>118492.5095685933</v>
      </c>
      <c r="BY27" s="128">
        <f t="shared" si="17"/>
        <v>1271818939975.4556</v>
      </c>
      <c r="BZ27" s="119">
        <f t="shared" si="18"/>
        <v>1394986621999.7546</v>
      </c>
      <c r="CA27" s="113">
        <v>37.4</v>
      </c>
      <c r="CB27" s="113">
        <v>15.8</v>
      </c>
      <c r="CC27" s="113">
        <v>9.4</v>
      </c>
      <c r="CD27" s="113">
        <v>18412984.440923944</v>
      </c>
      <c r="CE27" s="113">
        <v>6764348.1443475271</v>
      </c>
      <c r="CF27" s="113">
        <v>1130951.437289983</v>
      </c>
      <c r="CG27" s="113">
        <f t="shared" si="165"/>
        <v>26308284.022561453</v>
      </c>
      <c r="CH27" s="113">
        <v>26428000</v>
      </c>
      <c r="CI27" s="113">
        <f t="shared" si="166"/>
        <v>119715.97743854672</v>
      </c>
      <c r="CJ27" s="122">
        <f t="shared" si="167"/>
        <v>0.69989302324444047</v>
      </c>
      <c r="CK27" s="122">
        <f t="shared" si="168"/>
        <v>0.25711856153546764</v>
      </c>
      <c r="CL27" s="122">
        <f t="shared" si="169"/>
        <v>4.2988415220091968E-2</v>
      </c>
      <c r="CM27" s="129">
        <f t="shared" si="19"/>
        <v>30.642563444671321</v>
      </c>
      <c r="CN27" s="16">
        <v>942213945.07067966</v>
      </c>
      <c r="CO27" s="16">
        <f t="shared" si="20"/>
        <v>806153262.28177214</v>
      </c>
      <c r="CP27" s="130">
        <v>31.25</v>
      </c>
      <c r="CQ27" s="131">
        <f t="shared" si="192"/>
        <v>30.035126889342642</v>
      </c>
      <c r="CR27" s="5">
        <v>32.799999999999997</v>
      </c>
      <c r="CS27" s="132">
        <v>36.409999999999997</v>
      </c>
      <c r="CT27" s="5">
        <f t="shared" si="21"/>
        <v>33.747281687142539</v>
      </c>
      <c r="CU27" s="5">
        <v>32.61</v>
      </c>
      <c r="CV27" s="5">
        <v>37.369999999999997</v>
      </c>
      <c r="CW27" s="133"/>
      <c r="CX27" s="134">
        <v>35.35</v>
      </c>
      <c r="CY27" s="5">
        <f t="shared" si="193"/>
        <v>32.876479786176716</v>
      </c>
      <c r="CZ27" s="5">
        <f t="shared" si="170"/>
        <v>34.096028675569187</v>
      </c>
      <c r="DA27" s="5">
        <f t="shared" si="194"/>
        <v>33.901164198303029</v>
      </c>
      <c r="DB27" s="117">
        <f t="shared" si="171"/>
        <v>1772.9934911295977</v>
      </c>
      <c r="DC27" s="135">
        <f t="shared" si="171"/>
        <v>1762.8605383117574</v>
      </c>
      <c r="DD27" s="5">
        <f t="shared" si="22"/>
        <v>1754.858647731412</v>
      </c>
      <c r="DE27" s="131">
        <f t="shared" si="23"/>
        <v>395563293.94368714</v>
      </c>
      <c r="DF27" s="5">
        <f t="shared" si="24"/>
        <v>306591879.80459356</v>
      </c>
      <c r="DG27" s="131">
        <f t="shared" si="25"/>
        <v>554078756.31731236</v>
      </c>
      <c r="DH27" s="5">
        <f t="shared" si="26"/>
        <v>121076929.81814653</v>
      </c>
      <c r="DI27" s="7">
        <f t="shared" si="195"/>
        <v>901089845.83794248</v>
      </c>
      <c r="DJ27" s="136">
        <f t="shared" si="172"/>
        <v>1274965522.2064791</v>
      </c>
      <c r="DK27" s="16">
        <f t="shared" si="27"/>
        <v>427668809.62274009</v>
      </c>
      <c r="DL27" s="7">
        <f t="shared" si="196"/>
        <v>46856671983.573006</v>
      </c>
      <c r="DM27" s="136">
        <f t="shared" si="196"/>
        <v>66298207154.736908</v>
      </c>
      <c r="DN27" s="16">
        <f t="shared" si="173"/>
        <v>22238778100.382484</v>
      </c>
      <c r="DO27" s="117">
        <f t="shared" si="197"/>
        <v>1772.9934911295977</v>
      </c>
      <c r="DP27" s="135">
        <f t="shared" si="198"/>
        <v>1762.8605383117574</v>
      </c>
      <c r="DQ27" s="5">
        <f t="shared" si="28"/>
        <v>1754.8586477314122</v>
      </c>
      <c r="DR27" s="117">
        <f t="shared" si="29"/>
        <v>32.047063391258163</v>
      </c>
      <c r="DS27" s="135">
        <f t="shared" si="199"/>
        <v>22.649462207269746</v>
      </c>
      <c r="DT27" s="5">
        <f t="shared" si="30"/>
        <v>67.522537910260823</v>
      </c>
      <c r="DU27" s="137">
        <f t="shared" si="31"/>
        <v>27.417371381478414</v>
      </c>
      <c r="DV27" s="138">
        <f t="shared" si="32"/>
        <v>49.173264248857606</v>
      </c>
      <c r="DW27" s="130">
        <f t="shared" si="33"/>
        <v>61.393839678890352</v>
      </c>
      <c r="DX27" s="137">
        <v>27.142750138578545</v>
      </c>
      <c r="DY27" s="138">
        <v>62.727664968956283</v>
      </c>
      <c r="DZ27" s="137">
        <f t="shared" si="34"/>
        <v>32.047063391258163</v>
      </c>
      <c r="EA27" s="138">
        <v>45.427865538392133</v>
      </c>
      <c r="EB27" s="130">
        <v>56.949493465842167</v>
      </c>
      <c r="EC27" s="139">
        <f t="shared" si="35"/>
        <v>0.59163829826376679</v>
      </c>
      <c r="ED27" s="140">
        <f t="shared" si="36"/>
        <v>3.6335788470513504</v>
      </c>
      <c r="EE27" s="139">
        <f t="shared" si="37"/>
        <v>0.59163829826376702</v>
      </c>
      <c r="EF27" s="141">
        <f t="shared" si="38"/>
        <v>3.2130110283093973</v>
      </c>
      <c r="EG27" s="142">
        <f t="shared" si="39"/>
        <v>2.3744021494984251</v>
      </c>
      <c r="EH27" s="117">
        <f t="shared" si="40"/>
        <v>21.42197050219432</v>
      </c>
      <c r="EI27" s="117">
        <f t="shared" si="41"/>
        <v>12.674058173374867</v>
      </c>
      <c r="EJ27" s="135">
        <f t="shared" si="42"/>
        <v>8.0467779387482246</v>
      </c>
      <c r="EK27" s="135">
        <f t="shared" si="43"/>
        <v>25.854386259554804</v>
      </c>
      <c r="EL27" s="143">
        <f t="shared" si="44"/>
        <v>10.000966154007095</v>
      </c>
      <c r="EM27" s="143">
        <f t="shared" si="45"/>
        <v>23.746315533135444</v>
      </c>
      <c r="EN27" s="144">
        <f t="shared" si="46"/>
        <v>23.497801002148321</v>
      </c>
      <c r="EO27" s="145">
        <f t="shared" si="47"/>
        <v>13.902198997851677</v>
      </c>
      <c r="EP27" s="146">
        <f t="shared" si="48"/>
        <v>10.000966154007095</v>
      </c>
      <c r="EQ27" s="134">
        <f t="shared" si="49"/>
        <v>23.746315533135444</v>
      </c>
      <c r="ER27" s="130">
        <f t="shared" si="50"/>
        <v>8.010252396772076</v>
      </c>
      <c r="ES27" s="130">
        <f t="shared" si="51"/>
        <v>25.737029290370465</v>
      </c>
      <c r="ET27" s="117">
        <f t="shared" si="200"/>
        <v>9.5760286755691872</v>
      </c>
      <c r="EU27" s="135">
        <f t="shared" si="201"/>
        <v>24.411164198303027</v>
      </c>
      <c r="EV27" s="5">
        <f t="shared" si="52"/>
        <v>22.13728168714254</v>
      </c>
      <c r="EW27" s="145">
        <f t="shared" si="53"/>
        <v>12.939999999999998</v>
      </c>
      <c r="EX27" s="134">
        <f t="shared" si="54"/>
        <v>22.081281687142539</v>
      </c>
      <c r="EY27" s="130">
        <f t="shared" si="55"/>
        <v>24.277281687142541</v>
      </c>
      <c r="EZ27" s="117">
        <f t="shared" si="202"/>
        <v>39.053950552892282</v>
      </c>
      <c r="FA27" s="135">
        <f t="shared" si="203"/>
        <v>257.23039197368837</v>
      </c>
      <c r="FB27" s="5">
        <f t="shared" si="174"/>
        <v>190.67426087116746</v>
      </c>
      <c r="FC27" s="145">
        <f t="shared" si="56"/>
        <v>52.902698282910862</v>
      </c>
      <c r="FD27" s="134">
        <f t="shared" si="57"/>
        <v>189.27894468663243</v>
      </c>
      <c r="FE27" s="130">
        <f t="shared" si="58"/>
        <v>256.35989109971001</v>
      </c>
      <c r="FF27" s="117">
        <f t="shared" si="59"/>
        <v>17.225880661068885</v>
      </c>
      <c r="FG27" s="135">
        <f t="shared" si="175"/>
        <v>20.250373781672319</v>
      </c>
      <c r="FH27" s="5">
        <f t="shared" si="60"/>
        <v>14.57243744826525</v>
      </c>
      <c r="FI27" s="145">
        <f t="shared" si="61"/>
        <v>17.225880661068885</v>
      </c>
      <c r="FJ27" s="134">
        <f t="shared" si="62"/>
        <v>14.57243744826525</v>
      </c>
      <c r="FK27" s="145">
        <f t="shared" si="63"/>
        <v>20.134639525963021</v>
      </c>
      <c r="FL27" s="134">
        <f t="shared" si="64"/>
        <v>14.57243744826525</v>
      </c>
      <c r="FM27" s="130">
        <v>13.738976796651693</v>
      </c>
      <c r="FN27" s="111">
        <v>96.1</v>
      </c>
      <c r="FO27" s="147">
        <f t="shared" si="65"/>
        <v>2.9987146974038899</v>
      </c>
      <c r="FP27" s="148">
        <f t="shared" si="66"/>
        <v>4.2429263494457272</v>
      </c>
      <c r="FQ27" s="149">
        <f t="shared" si="67"/>
        <v>1.4232284948726208</v>
      </c>
      <c r="FR27" s="150">
        <f t="shared" si="68"/>
        <v>3.1204107153006137E-2</v>
      </c>
      <c r="FS27" s="151">
        <f t="shared" si="68"/>
        <v>4.4151158683098102E-2</v>
      </c>
      <c r="FT27" s="122">
        <f t="shared" si="68"/>
        <v>1.4809869873804589E-2</v>
      </c>
      <c r="FU27" s="152">
        <f t="shared" si="69"/>
        <v>1.1670336075224295</v>
      </c>
      <c r="FV27" s="140">
        <f t="shared" si="70"/>
        <v>0.68629329784480508</v>
      </c>
      <c r="FW27" s="153">
        <f t="shared" si="71"/>
        <v>0.54968514534441471</v>
      </c>
      <c r="FX27" s="152">
        <f t="shared" si="72"/>
        <v>1.6124825435394532</v>
      </c>
      <c r="FY27" s="140">
        <f t="shared" si="73"/>
        <v>0.49979285038120969</v>
      </c>
      <c r="FZ27" s="140">
        <f t="shared" si="176"/>
        <v>35.687251487929863</v>
      </c>
      <c r="GA27" s="153">
        <f t="shared" si="176"/>
        <v>28.583627557909566</v>
      </c>
      <c r="GB27" s="152">
        <f t="shared" si="74"/>
        <v>3.6473226630162739E-2</v>
      </c>
      <c r="GC27" s="154">
        <f t="shared" si="75"/>
        <v>1.4809869873804591E-2</v>
      </c>
      <c r="GD27" s="152">
        <f t="shared" si="76"/>
        <v>3.1204107153006137E-2</v>
      </c>
      <c r="GE27" s="154">
        <f t="shared" si="77"/>
        <v>2.0336254167288317E-2</v>
      </c>
      <c r="GF27" s="155">
        <f t="shared" si="78"/>
        <v>1.7276390582496446E-2</v>
      </c>
      <c r="GG27" s="152">
        <f t="shared" si="79"/>
        <v>399.53792945245198</v>
      </c>
      <c r="GH27" s="134">
        <f t="shared" si="80"/>
        <v>33.747281687142539</v>
      </c>
      <c r="GI27" s="130">
        <f t="shared" si="81"/>
        <v>33.747281687142539</v>
      </c>
      <c r="GJ27" s="152">
        <f t="shared" si="82"/>
        <v>0.98998367717025637</v>
      </c>
      <c r="GK27" s="154">
        <f t="shared" si="82"/>
        <v>0.92898855567785321</v>
      </c>
      <c r="GL27" s="152">
        <f t="shared" si="82"/>
        <v>1</v>
      </c>
      <c r="GM27" s="154">
        <f t="shared" si="82"/>
        <v>0.92383261986614029</v>
      </c>
      <c r="GN27" s="154">
        <f t="shared" si="82"/>
        <v>0.98388169259121849</v>
      </c>
      <c r="GO27" s="112">
        <f t="shared" si="177"/>
        <v>0.53751822595288967</v>
      </c>
      <c r="GP27" s="156">
        <f t="shared" si="177"/>
        <v>0.89407746622666406</v>
      </c>
      <c r="GQ27" s="115">
        <f t="shared" si="177"/>
        <v>0.21581590235296533</v>
      </c>
      <c r="GR27" s="117">
        <f t="shared" si="204"/>
        <v>382.64019015406836</v>
      </c>
      <c r="GS27" s="135">
        <f t="shared" si="178"/>
        <v>1576.1338834047492</v>
      </c>
      <c r="GT27" s="5">
        <f t="shared" si="178"/>
        <v>378.72640256205926</v>
      </c>
      <c r="GU27" s="130">
        <f t="shared" si="83"/>
        <v>416.53312463214797</v>
      </c>
      <c r="GV27" s="145">
        <f t="shared" si="84"/>
        <v>953.0163159780019</v>
      </c>
      <c r="GW27" s="134">
        <f t="shared" si="85"/>
        <v>407.67606904017754</v>
      </c>
      <c r="GX27" s="157">
        <f t="shared" si="179"/>
        <v>0.62828344925530299</v>
      </c>
      <c r="GY27" s="154">
        <f t="shared" si="86"/>
        <v>0.21581590235296536</v>
      </c>
      <c r="GZ27" s="157">
        <f t="shared" si="86"/>
        <v>0.62828344925530277</v>
      </c>
      <c r="HA27" s="154">
        <f t="shared" si="86"/>
        <v>0.29634879178483253</v>
      </c>
      <c r="HB27" s="155">
        <f t="shared" si="86"/>
        <v>0.2373599293428105</v>
      </c>
      <c r="HC27" s="157">
        <f t="shared" si="87"/>
        <v>0.63464021048424968</v>
      </c>
      <c r="HD27" s="154">
        <f t="shared" si="88"/>
        <v>0.23231276750819757</v>
      </c>
      <c r="HE27" s="144">
        <v>96.1</v>
      </c>
      <c r="HF27" s="146"/>
      <c r="HG27" s="158">
        <f t="shared" si="89"/>
        <v>138.20137545101093</v>
      </c>
      <c r="HH27" s="2">
        <f t="shared" si="90"/>
        <v>87.579601398995578</v>
      </c>
      <c r="HI27" s="2">
        <f t="shared" si="91"/>
        <v>92.918315054067932</v>
      </c>
      <c r="HJ27" s="2">
        <f t="shared" si="92"/>
        <v>98.162729658792642</v>
      </c>
      <c r="HK27" s="2">
        <f t="shared" si="93"/>
        <v>142.923845457939</v>
      </c>
      <c r="HL27" s="2">
        <f t="shared" si="180"/>
        <v>97.863465616090807</v>
      </c>
      <c r="HM27" s="2">
        <f t="shared" si="94"/>
        <v>160.53942834174171</v>
      </c>
      <c r="HN27" s="2">
        <f t="shared" si="95"/>
        <v>106.10252654431713</v>
      </c>
      <c r="HO27" s="2">
        <f t="shared" si="181"/>
        <v>70.205488823821014</v>
      </c>
      <c r="HP27" s="2">
        <f t="shared" si="96"/>
        <v>94.065519539630799</v>
      </c>
      <c r="HQ27" s="2">
        <f t="shared" si="182"/>
        <v>84.25464703276252</v>
      </c>
      <c r="HR27" s="159">
        <f t="shared" si="97"/>
        <v>140.64498871963292</v>
      </c>
      <c r="HS27" s="12">
        <f t="shared" si="98"/>
        <v>116.69738802808745</v>
      </c>
      <c r="HT27" s="12">
        <f t="shared" si="99"/>
        <v>82.053612761352596</v>
      </c>
      <c r="HU27" s="12">
        <f t="shared" si="100"/>
        <v>89.968759496514366</v>
      </c>
      <c r="HV27" s="12">
        <f t="shared" si="101"/>
        <v>128.72921920059153</v>
      </c>
      <c r="HW27" s="12">
        <f t="shared" si="183"/>
        <v>94.49032502318974</v>
      </c>
      <c r="HX27" s="12">
        <f t="shared" si="102"/>
        <v>143.14771560181973</v>
      </c>
      <c r="HY27" s="12">
        <f t="shared" si="103"/>
        <v>107.53223816834712</v>
      </c>
      <c r="HZ27" s="12">
        <f t="shared" si="104"/>
        <v>76.493716956263086</v>
      </c>
      <c r="IA27" s="12">
        <f t="shared" si="105"/>
        <v>101.39843936111576</v>
      </c>
      <c r="IB27" s="12">
        <f t="shared" si="184"/>
        <v>92.898855567785318</v>
      </c>
      <c r="IC27" s="158">
        <f t="shared" si="106"/>
        <v>163.17242052575438</v>
      </c>
      <c r="ID27" s="2">
        <f t="shared" si="107"/>
        <v>96.062307355170773</v>
      </c>
      <c r="IE27" s="2">
        <f t="shared" si="108"/>
        <v>101.92228004290085</v>
      </c>
      <c r="IF27" s="2">
        <f t="shared" si="109"/>
        <v>98.162729658792642</v>
      </c>
      <c r="IG27" s="2">
        <f t="shared" si="110"/>
        <v>143.67282480263916</v>
      </c>
      <c r="IH27" s="2">
        <f t="shared" si="185"/>
        <v>97.863465616090778</v>
      </c>
      <c r="II27" s="2">
        <f t="shared" si="111"/>
        <v>159.67200258495654</v>
      </c>
      <c r="IJ27" s="2">
        <f t="shared" si="112"/>
        <v>106.10252654431717</v>
      </c>
      <c r="IK27" s="2">
        <f t="shared" si="113"/>
        <v>94.868035190615814</v>
      </c>
      <c r="IL27" s="2">
        <f t="shared" si="114"/>
        <v>61.280650339760676</v>
      </c>
      <c r="IM27" s="2">
        <f t="shared" si="186"/>
        <v>100</v>
      </c>
      <c r="IN27" s="159">
        <f t="shared" si="115"/>
        <v>138.71103981188438</v>
      </c>
      <c r="IO27" s="12">
        <f t="shared" si="116"/>
        <v>85.727465746674909</v>
      </c>
      <c r="IP27" s="12">
        <f t="shared" si="117"/>
        <v>91.897505933186707</v>
      </c>
      <c r="IQ27" s="12">
        <f t="shared" si="118"/>
        <v>89.968759496514366</v>
      </c>
      <c r="IR27" s="12">
        <f t="shared" si="119"/>
        <v>128.72921920059153</v>
      </c>
      <c r="IS27" s="12">
        <f t="shared" si="187"/>
        <v>95.289000573901134</v>
      </c>
      <c r="IT27" s="12">
        <f t="shared" si="120"/>
        <v>143.14771560181973</v>
      </c>
      <c r="IU27" s="12">
        <f t="shared" si="121"/>
        <v>107.18971033426443</v>
      </c>
      <c r="IV27" s="12">
        <f t="shared" si="122"/>
        <v>85.453876498229647</v>
      </c>
      <c r="IW27" s="12">
        <f t="shared" si="123"/>
        <v>66.676243171437108</v>
      </c>
      <c r="IX27" s="12">
        <f t="shared" si="188"/>
        <v>92.383261986614031</v>
      </c>
      <c r="IY27" s="160">
        <f t="shared" si="124"/>
        <v>141.17375673238018</v>
      </c>
      <c r="IZ27" s="25">
        <f t="shared" si="125"/>
        <v>84.585558572038806</v>
      </c>
      <c r="JA27" s="25">
        <f t="shared" si="126"/>
        <v>91.786837697469565</v>
      </c>
      <c r="JB27" s="25">
        <f t="shared" si="127"/>
        <v>89.968759496514366</v>
      </c>
      <c r="JC27" s="25">
        <f t="shared" si="128"/>
        <v>128.72921920059153</v>
      </c>
      <c r="JD27" s="25">
        <f t="shared" si="189"/>
        <v>94.003932412994246</v>
      </c>
      <c r="JE27" s="25">
        <f t="shared" si="129"/>
        <v>134.96047933842527</v>
      </c>
      <c r="JF27" s="25">
        <f t="shared" si="130"/>
        <v>108.53373649022753</v>
      </c>
      <c r="JG27" s="25">
        <f t="shared" si="131"/>
        <v>86.580890467698083</v>
      </c>
      <c r="JH27" s="25">
        <f t="shared" si="132"/>
        <v>69.662865252001808</v>
      </c>
      <c r="JI27" s="25">
        <f t="shared" si="190"/>
        <v>98.388169259121852</v>
      </c>
    </row>
    <row r="28" spans="1:269" x14ac:dyDescent="0.35">
      <c r="A28" s="109">
        <v>2013</v>
      </c>
      <c r="B28" s="110">
        <v>879510000000</v>
      </c>
      <c r="C28" s="111">
        <v>91.5</v>
      </c>
      <c r="D28" s="112">
        <f t="shared" si="133"/>
        <v>0.91500000000000004</v>
      </c>
      <c r="E28" s="111">
        <f t="shared" si="134"/>
        <v>9612131147.5409832</v>
      </c>
      <c r="F28" s="113">
        <f t="shared" si="135"/>
        <v>961213114754.09827</v>
      </c>
      <c r="G28" s="114">
        <v>62298000000</v>
      </c>
      <c r="H28" s="110">
        <v>16414000000</v>
      </c>
      <c r="I28" s="110">
        <v>316379000000</v>
      </c>
      <c r="J28" s="110">
        <v>112695000000</v>
      </c>
      <c r="K28" s="112">
        <v>89</v>
      </c>
      <c r="L28" s="112">
        <f t="shared" si="136"/>
        <v>0.89</v>
      </c>
      <c r="M28" s="112">
        <f t="shared" si="137"/>
        <v>699977528.08988762</v>
      </c>
      <c r="N28" s="112">
        <f t="shared" si="138"/>
        <v>3554820224.719101</v>
      </c>
      <c r="O28" s="112">
        <f t="shared" si="139"/>
        <v>3554820224.719101</v>
      </c>
      <c r="P28" s="112">
        <f t="shared" si="140"/>
        <v>69997752808.98877</v>
      </c>
      <c r="Q28" s="112">
        <f t="shared" si="141"/>
        <v>18442696629.213482</v>
      </c>
      <c r="R28" s="112">
        <f t="shared" si="142"/>
        <v>355482022471.9101</v>
      </c>
      <c r="S28" s="115">
        <f t="shared" si="143"/>
        <v>443922471910.11237</v>
      </c>
      <c r="T28" s="112">
        <f t="shared" si="144"/>
        <v>1266235955.0561798</v>
      </c>
      <c r="U28" s="115">
        <f t="shared" si="145"/>
        <v>126623595505.61798</v>
      </c>
      <c r="V28" s="116">
        <f t="shared" si="146"/>
        <v>1531759182169.8286</v>
      </c>
      <c r="W28" s="117">
        <f t="shared" si="147"/>
        <v>1387296000000</v>
      </c>
      <c r="X28" s="112">
        <v>85.458299999999994</v>
      </c>
      <c r="Y28" s="112">
        <f t="shared" si="148"/>
        <v>0.85458299999999998</v>
      </c>
      <c r="Z28" s="112">
        <f t="shared" si="149"/>
        <v>1623360165133.1702</v>
      </c>
      <c r="AA28" s="115">
        <v>0.2541388198163852</v>
      </c>
      <c r="AB28" s="115">
        <v>0.3191156127677402</v>
      </c>
      <c r="AC28" s="115">
        <f t="shared" si="150"/>
        <v>0.57325443258412534</v>
      </c>
      <c r="AD28" s="118">
        <v>0.28656135764638418</v>
      </c>
      <c r="AE28" s="115">
        <f>AC28+AD28</f>
        <v>0.85981579023050947</v>
      </c>
      <c r="AF28" s="115">
        <f t="shared" si="152"/>
        <v>0.14018420976949053</v>
      </c>
      <c r="AG28" s="119">
        <v>0.251134607774739</v>
      </c>
      <c r="AH28" s="119">
        <v>0.31434882900148536</v>
      </c>
      <c r="AI28" s="119">
        <f t="shared" si="153"/>
        <v>0.56548343677622437</v>
      </c>
      <c r="AJ28" s="16">
        <v>2439000</v>
      </c>
      <c r="AK28" s="120">
        <v>24148000</v>
      </c>
      <c r="AL28" s="121">
        <f t="shared" si="154"/>
        <v>26587000</v>
      </c>
      <c r="AM28" s="122">
        <v>0.20264749999999998</v>
      </c>
      <c r="AN28" s="123">
        <f t="shared" si="191"/>
        <v>4893531.8299999991</v>
      </c>
      <c r="AO28" s="124">
        <f t="shared" si="205"/>
        <v>0.79735250000000002</v>
      </c>
      <c r="AP28" s="123">
        <f t="shared" si="155"/>
        <v>19254468.170000002</v>
      </c>
      <c r="AQ28" s="125">
        <v>0.4906452</v>
      </c>
      <c r="AR28" s="123">
        <f t="shared" si="156"/>
        <v>9447112.386163285</v>
      </c>
      <c r="AS28" s="123">
        <f t="shared" si="157"/>
        <v>9807355.7838367168</v>
      </c>
      <c r="AT28" s="115">
        <f t="shared" si="0"/>
        <v>497.26543330080494</v>
      </c>
      <c r="AU28" s="126">
        <v>0.70410300000000003</v>
      </c>
      <c r="AV28" s="123">
        <f t="shared" si="1"/>
        <v>3445550.4420984895</v>
      </c>
      <c r="AW28" s="123">
        <f t="shared" si="158"/>
        <v>1447981.3879015096</v>
      </c>
      <c r="AX28" s="127">
        <f t="shared" si="159"/>
        <v>12892662.828261774</v>
      </c>
      <c r="AY28" s="127">
        <f t="shared" si="159"/>
        <v>11255337.171738226</v>
      </c>
      <c r="AZ28" s="16">
        <f t="shared" si="2"/>
        <v>89094362944.59404</v>
      </c>
      <c r="BA28" s="16">
        <f t="shared" si="3"/>
        <v>37529232561.023941</v>
      </c>
      <c r="BB28" s="16">
        <f t="shared" si="4"/>
        <v>244281566575.63815</v>
      </c>
      <c r="BC28" s="16">
        <f t="shared" si="5"/>
        <v>306738112115.14227</v>
      </c>
      <c r="BD28" s="17">
        <f t="shared" si="6"/>
        <v>275446535151.44409</v>
      </c>
      <c r="BE28" s="16">
        <f t="shared" si="160"/>
        <v>826466213842.22449</v>
      </c>
      <c r="BF28" s="117">
        <v>961213114754.09827</v>
      </c>
      <c r="BG28" s="116">
        <f t="shared" si="161"/>
        <v>0.85981579023050958</v>
      </c>
      <c r="BH28" s="115">
        <v>0.85981579023050947</v>
      </c>
      <c r="BI28" s="17">
        <v>12304790.289626502</v>
      </c>
      <c r="BJ28" s="7">
        <f t="shared" si="162"/>
        <v>826466213842.22437</v>
      </c>
      <c r="BK28" s="16">
        <f t="shared" si="163"/>
        <v>333375929520.23218</v>
      </c>
      <c r="BL28" s="112">
        <f t="shared" si="7"/>
        <v>36153.500385680905</v>
      </c>
      <c r="BM28" s="112">
        <f t="shared" si="8"/>
        <v>31085.350503713256</v>
      </c>
      <c r="BN28" s="115">
        <f t="shared" si="9"/>
        <v>25857.802531641857</v>
      </c>
      <c r="BO28" s="112">
        <f t="shared" si="164"/>
        <v>695.25962280155591</v>
      </c>
      <c r="BP28" s="112">
        <f t="shared" si="164"/>
        <v>597.79520199448575</v>
      </c>
      <c r="BQ28" s="115">
        <f t="shared" si="164"/>
        <v>497.26543330080494</v>
      </c>
      <c r="BR28" s="112">
        <f t="shared" si="10"/>
        <v>570546067415.73035</v>
      </c>
      <c r="BS28" s="115">
        <f t="shared" si="11"/>
        <v>1198383252649.5964</v>
      </c>
      <c r="BT28" s="112">
        <f t="shared" si="12"/>
        <v>570546067415.73035</v>
      </c>
      <c r="BU28" s="115">
        <f t="shared" si="13"/>
        <v>788189816586.27856</v>
      </c>
      <c r="BV28" s="118">
        <f t="shared" si="14"/>
        <v>1063636351737.7227</v>
      </c>
      <c r="BW28" s="112">
        <f t="shared" si="15"/>
        <v>57613.088433062345</v>
      </c>
      <c r="BX28" s="115">
        <f t="shared" si="16"/>
        <v>118808.59699612146</v>
      </c>
      <c r="BY28" s="128">
        <f t="shared" si="17"/>
        <v>1296805363660.458</v>
      </c>
      <c r="BZ28" s="119">
        <f t="shared" si="18"/>
        <v>1425873939018.2449</v>
      </c>
      <c r="CA28" s="113">
        <v>37.5</v>
      </c>
      <c r="CB28" s="113">
        <v>15.9</v>
      </c>
      <c r="CC28" s="113">
        <v>9.3000000000000007</v>
      </c>
      <c r="CD28" s="113">
        <v>18714345.931715693</v>
      </c>
      <c r="CE28" s="113">
        <v>6777801.1939537367</v>
      </c>
      <c r="CF28" s="113">
        <v>1141243.9647808725</v>
      </c>
      <c r="CG28" s="113">
        <f t="shared" si="165"/>
        <v>26633391.090450302</v>
      </c>
      <c r="CH28" s="113">
        <v>26587000</v>
      </c>
      <c r="CI28" s="113">
        <f t="shared" si="166"/>
        <v>-46391.090450301766</v>
      </c>
      <c r="CJ28" s="122">
        <f t="shared" si="167"/>
        <v>0.70266478152028977</v>
      </c>
      <c r="CK28" s="122">
        <f t="shared" si="168"/>
        <v>0.25448509996100316</v>
      </c>
      <c r="CL28" s="122">
        <f t="shared" si="169"/>
        <v>4.2850118518707077E-2</v>
      </c>
      <c r="CM28" s="129">
        <f t="shared" si="19"/>
        <v>30.794748498614794</v>
      </c>
      <c r="CN28" s="16">
        <v>961527382.40639627</v>
      </c>
      <c r="CO28" s="16">
        <f t="shared" si="20"/>
        <v>820168580.29566503</v>
      </c>
      <c r="CP28" s="130">
        <v>31.62</v>
      </c>
      <c r="CQ28" s="131">
        <f t="shared" si="192"/>
        <v>29.969496997229587</v>
      </c>
      <c r="CR28" s="5">
        <v>32.97</v>
      </c>
      <c r="CS28" s="132">
        <v>36.4</v>
      </c>
      <c r="CT28" s="5">
        <f t="shared" si="21"/>
        <v>33.88666385554513</v>
      </c>
      <c r="CU28" s="5">
        <v>32.450000000000003</v>
      </c>
      <c r="CV28" s="5">
        <v>37.549999999999997</v>
      </c>
      <c r="CW28" s="133"/>
      <c r="CX28" s="134">
        <v>35.53</v>
      </c>
      <c r="CY28" s="5">
        <f t="shared" si="193"/>
        <v>32.841427128679157</v>
      </c>
      <c r="CZ28" s="5">
        <f t="shared" si="170"/>
        <v>34.103727480360163</v>
      </c>
      <c r="DA28" s="5">
        <f t="shared" si="194"/>
        <v>33.943647216366251</v>
      </c>
      <c r="DB28" s="117">
        <f t="shared" si="171"/>
        <v>1773.3938289787284</v>
      </c>
      <c r="DC28" s="135">
        <f t="shared" si="171"/>
        <v>1765.0696552510451</v>
      </c>
      <c r="DD28" s="5">
        <f t="shared" si="22"/>
        <v>1762.1065204883469</v>
      </c>
      <c r="DE28" s="131">
        <f t="shared" si="23"/>
        <v>401492591.84046209</v>
      </c>
      <c r="DF28" s="5">
        <f t="shared" si="24"/>
        <v>311471295.37180352</v>
      </c>
      <c r="DG28" s="131">
        <f t="shared" si="25"/>
        <v>576164076.1850822</v>
      </c>
      <c r="DH28" s="5">
        <f t="shared" si="26"/>
        <v>125418036.09238501</v>
      </c>
      <c r="DI28" s="7">
        <f t="shared" si="195"/>
        <v>906715802.52033567</v>
      </c>
      <c r="DJ28" s="136">
        <f t="shared" si="172"/>
        <v>1284506942.8002653</v>
      </c>
      <c r="DK28" s="16">
        <f t="shared" si="27"/>
        <v>436889331.46418852</v>
      </c>
      <c r="DL28" s="7">
        <f t="shared" si="196"/>
        <v>47149221731.057457</v>
      </c>
      <c r="DM28" s="136">
        <f t="shared" si="196"/>
        <v>66794361025.6138</v>
      </c>
      <c r="DN28" s="16">
        <f t="shared" si="173"/>
        <v>22718245236.137802</v>
      </c>
      <c r="DO28" s="117">
        <f t="shared" si="197"/>
        <v>1773.3938289787286</v>
      </c>
      <c r="DP28" s="135">
        <f t="shared" si="198"/>
        <v>1765.0696552510453</v>
      </c>
      <c r="DQ28" s="5">
        <f t="shared" si="28"/>
        <v>1762.1065204883466</v>
      </c>
      <c r="DR28" s="117">
        <f t="shared" si="29"/>
        <v>32.487475422332373</v>
      </c>
      <c r="DS28" s="135">
        <f t="shared" si="199"/>
        <v>22.93246254099865</v>
      </c>
      <c r="DT28" s="5">
        <f t="shared" si="30"/>
        <v>67.424185549915038</v>
      </c>
      <c r="DU28" s="137">
        <f t="shared" si="31"/>
        <v>27.933244352846959</v>
      </c>
      <c r="DV28" s="138">
        <f t="shared" si="32"/>
        <v>49.368502472296647</v>
      </c>
      <c r="DW28" s="130">
        <f t="shared" si="33"/>
        <v>61.492965972377746</v>
      </c>
      <c r="DX28" s="137">
        <v>27.504279308310302</v>
      </c>
      <c r="DY28" s="138">
        <v>62.763383535895372</v>
      </c>
      <c r="DZ28" s="137">
        <f t="shared" si="34"/>
        <v>32.487475422332373</v>
      </c>
      <c r="EA28" s="138">
        <v>45.788660933998635</v>
      </c>
      <c r="EB28" s="130">
        <v>57.187255145359018</v>
      </c>
      <c r="EC28" s="139">
        <f t="shared" si="35"/>
        <v>0.5935687504239785</v>
      </c>
      <c r="ED28" s="140">
        <f t="shared" si="36"/>
        <v>3.5946903976367257</v>
      </c>
      <c r="EE28" s="139">
        <f t="shared" si="37"/>
        <v>0.5935687504239785</v>
      </c>
      <c r="EF28" s="141">
        <f t="shared" si="38"/>
        <v>3.1905013456383085</v>
      </c>
      <c r="EG28" s="142">
        <f t="shared" si="39"/>
        <v>2.3642673234404712</v>
      </c>
      <c r="EH28" s="117">
        <f t="shared" si="40"/>
        <v>21.400851059163067</v>
      </c>
      <c r="EI28" s="117">
        <f t="shared" si="41"/>
        <v>12.702876421197097</v>
      </c>
      <c r="EJ28" s="135">
        <f t="shared" si="42"/>
        <v>8.1001399156443572</v>
      </c>
      <c r="EK28" s="135">
        <f t="shared" si="43"/>
        <v>25.843507300721896</v>
      </c>
      <c r="EL28" s="143">
        <f t="shared" si="44"/>
        <v>10.072524147959474</v>
      </c>
      <c r="EM28" s="143">
        <f t="shared" si="45"/>
        <v>23.814139707585657</v>
      </c>
      <c r="EN28" s="144">
        <f t="shared" si="46"/>
        <v>23.532087956683956</v>
      </c>
      <c r="EO28" s="145">
        <f t="shared" si="47"/>
        <v>13.967912043316044</v>
      </c>
      <c r="EP28" s="146">
        <f t="shared" si="48"/>
        <v>10.072524147959474</v>
      </c>
      <c r="EQ28" s="134">
        <f t="shared" si="49"/>
        <v>23.814139707585657</v>
      </c>
      <c r="ER28" s="130">
        <f t="shared" si="50"/>
        <v>8.0865416952594771</v>
      </c>
      <c r="ES28" s="130">
        <f t="shared" si="51"/>
        <v>25.800122160285653</v>
      </c>
      <c r="ET28" s="117">
        <f t="shared" si="200"/>
        <v>9.5837274803601638</v>
      </c>
      <c r="EU28" s="135">
        <f t="shared" si="201"/>
        <v>24.453647216366249</v>
      </c>
      <c r="EV28" s="5">
        <f t="shared" si="52"/>
        <v>22.276663855545131</v>
      </c>
      <c r="EW28" s="145">
        <f t="shared" si="53"/>
        <v>13.04</v>
      </c>
      <c r="EX28" s="134">
        <f t="shared" si="54"/>
        <v>22.22066385554513</v>
      </c>
      <c r="EY28" s="130">
        <f t="shared" si="55"/>
        <v>24.416663855545131</v>
      </c>
      <c r="EZ28" s="117">
        <f t="shared" si="202"/>
        <v>39.085348614845692</v>
      </c>
      <c r="FA28" s="135">
        <f t="shared" si="203"/>
        <v>257.6780528594968</v>
      </c>
      <c r="FB28" s="5">
        <f t="shared" si="174"/>
        <v>191.87479634405798</v>
      </c>
      <c r="FC28" s="145">
        <f t="shared" si="56"/>
        <v>53.311529026982832</v>
      </c>
      <c r="FD28" s="134">
        <f t="shared" si="57"/>
        <v>190.47371725994452</v>
      </c>
      <c r="FE28" s="130">
        <f t="shared" si="58"/>
        <v>257.83171969952622</v>
      </c>
      <c r="FF28" s="117">
        <f t="shared" si="59"/>
        <v>17.528735014046401</v>
      </c>
      <c r="FG28" s="135">
        <f t="shared" si="175"/>
        <v>20.48276127694168</v>
      </c>
      <c r="FH28" s="5">
        <f t="shared" si="60"/>
        <v>14.674369699554642</v>
      </c>
      <c r="FI28" s="145">
        <f t="shared" si="61"/>
        <v>17.528735014046404</v>
      </c>
      <c r="FJ28" s="134">
        <f t="shared" si="62"/>
        <v>14.674369699554642</v>
      </c>
      <c r="FK28" s="145">
        <f t="shared" si="63"/>
        <v>20.386616776771561</v>
      </c>
      <c r="FL28" s="134">
        <f t="shared" si="64"/>
        <v>14.674369699554642</v>
      </c>
      <c r="FM28" s="130">
        <v>13.795842225232233</v>
      </c>
      <c r="FN28" s="111">
        <v>98.5</v>
      </c>
      <c r="FO28" s="147">
        <f t="shared" si="65"/>
        <v>3.0319376534961417</v>
      </c>
      <c r="FP28" s="148">
        <f t="shared" si="66"/>
        <v>4.2952212316449545</v>
      </c>
      <c r="FQ28" s="149">
        <f t="shared" si="67"/>
        <v>1.4609001087166136</v>
      </c>
      <c r="FR28" s="150">
        <f t="shared" si="68"/>
        <v>3.0781092928894842E-2</v>
      </c>
      <c r="FS28" s="151">
        <f t="shared" si="68"/>
        <v>4.3606306920253343E-2</v>
      </c>
      <c r="FT28" s="122">
        <f t="shared" si="68"/>
        <v>1.4831473184940238E-2</v>
      </c>
      <c r="FU28" s="152">
        <f t="shared" si="69"/>
        <v>1.1542909848335565</v>
      </c>
      <c r="FV28" s="140">
        <f t="shared" si="70"/>
        <v>0.68640250683238324</v>
      </c>
      <c r="FW28" s="153">
        <f t="shared" si="71"/>
        <v>0.55106569214382672</v>
      </c>
      <c r="FX28" s="152">
        <f t="shared" si="72"/>
        <v>1.6036183112790283</v>
      </c>
      <c r="FY28" s="140">
        <f t="shared" si="73"/>
        <v>0.50258914630060125</v>
      </c>
      <c r="FZ28" s="140">
        <f t="shared" si="176"/>
        <v>35.692930355283927</v>
      </c>
      <c r="GA28" s="153">
        <f t="shared" si="176"/>
        <v>28.655415991478989</v>
      </c>
      <c r="GB28" s="152">
        <f t="shared" si="74"/>
        <v>3.5799636711303817E-2</v>
      </c>
      <c r="GC28" s="154">
        <f t="shared" si="75"/>
        <v>1.483147318494024E-2</v>
      </c>
      <c r="GD28" s="152">
        <f t="shared" si="76"/>
        <v>3.0781092928894842E-2</v>
      </c>
      <c r="GE28" s="154">
        <f t="shared" si="77"/>
        <v>2.0255830133011517E-2</v>
      </c>
      <c r="GF28" s="155">
        <f t="shared" si="78"/>
        <v>1.7297597872610398E-2</v>
      </c>
      <c r="GG28" s="152">
        <f t="shared" si="79"/>
        <v>409.90275454167323</v>
      </c>
      <c r="GH28" s="134">
        <f t="shared" si="80"/>
        <v>33.88666385554513</v>
      </c>
      <c r="GI28" s="130">
        <f t="shared" si="81"/>
        <v>33.88666385554513</v>
      </c>
      <c r="GJ28" s="152">
        <f t="shared" si="82"/>
        <v>0.98464320724373944</v>
      </c>
      <c r="GK28" s="154">
        <f t="shared" si="82"/>
        <v>0.93087343990875193</v>
      </c>
      <c r="GL28" s="152">
        <f t="shared" si="82"/>
        <v>1</v>
      </c>
      <c r="GM28" s="154">
        <f t="shared" si="82"/>
        <v>0.92748733789713689</v>
      </c>
      <c r="GN28" s="154">
        <f t="shared" si="82"/>
        <v>0.98920214294279019</v>
      </c>
      <c r="GO28" s="112">
        <f t="shared" si="177"/>
        <v>0.53955362139333507</v>
      </c>
      <c r="GP28" s="156">
        <f t="shared" si="177"/>
        <v>0.89317757481659921</v>
      </c>
      <c r="GQ28" s="115">
        <f t="shared" si="177"/>
        <v>0.21764252070484422</v>
      </c>
      <c r="GR28" s="117">
        <f t="shared" si="204"/>
        <v>385.9659031413459</v>
      </c>
      <c r="GS28" s="135">
        <f t="shared" si="178"/>
        <v>1576.5206340594996</v>
      </c>
      <c r="GT28" s="5">
        <f t="shared" si="178"/>
        <v>383.50930486952598</v>
      </c>
      <c r="GU28" s="130">
        <f t="shared" si="83"/>
        <v>420.50016815349284</v>
      </c>
      <c r="GV28" s="145">
        <f t="shared" si="84"/>
        <v>956.84106258206589</v>
      </c>
      <c r="GW28" s="134">
        <f t="shared" si="85"/>
        <v>411.98866400906144</v>
      </c>
      <c r="GX28" s="157">
        <f t="shared" si="179"/>
        <v>0.62752234551157215</v>
      </c>
      <c r="GY28" s="154">
        <f t="shared" si="86"/>
        <v>0.21764252070484424</v>
      </c>
      <c r="GZ28" s="157">
        <f t="shared" si="86"/>
        <v>0.62752234551157204</v>
      </c>
      <c r="HA28" s="154">
        <f t="shared" si="86"/>
        <v>0.29724153994319008</v>
      </c>
      <c r="HB28" s="155">
        <f t="shared" si="86"/>
        <v>0.23863493112604578</v>
      </c>
      <c r="HC28" s="157">
        <f t="shared" si="87"/>
        <v>0.63730937348175365</v>
      </c>
      <c r="HD28" s="154">
        <f t="shared" si="88"/>
        <v>0.23380463054803505</v>
      </c>
      <c r="HE28" s="144">
        <v>98.5</v>
      </c>
      <c r="HF28" s="146"/>
      <c r="HG28" s="158">
        <f t="shared" si="89"/>
        <v>140.04215533762883</v>
      </c>
      <c r="HH28" s="2">
        <f t="shared" si="90"/>
        <v>87.493258622907049</v>
      </c>
      <c r="HI28" s="2">
        <f t="shared" si="91"/>
        <v>93.129592530770495</v>
      </c>
      <c r="HJ28" s="2">
        <f t="shared" si="92"/>
        <v>98.425196850393689</v>
      </c>
      <c r="HK28" s="2">
        <f t="shared" si="93"/>
        <v>144.74515802531351</v>
      </c>
      <c r="HL28" s="2">
        <f t="shared" si="180"/>
        <v>97.744913631086007</v>
      </c>
      <c r="HM28" s="2">
        <f t="shared" si="94"/>
        <v>163.36192930145759</v>
      </c>
      <c r="HN28" s="2">
        <f t="shared" si="95"/>
        <v>106.44872768135049</v>
      </c>
      <c r="HO28" s="2">
        <f t="shared" si="181"/>
        <v>70.261931674194742</v>
      </c>
      <c r="HP28" s="2">
        <f t="shared" si="96"/>
        <v>95.1076775775947</v>
      </c>
      <c r="HQ28" s="2">
        <f t="shared" si="182"/>
        <v>83.800135085723241</v>
      </c>
      <c r="HR28" s="159">
        <f t="shared" si="97"/>
        <v>140.72507519259051</v>
      </c>
      <c r="HS28" s="12">
        <f t="shared" si="98"/>
        <v>117.53237045460297</v>
      </c>
      <c r="HT28" s="12">
        <f t="shared" si="99"/>
        <v>82.287974110524033</v>
      </c>
      <c r="HU28" s="12">
        <f t="shared" si="100"/>
        <v>90.340346189136582</v>
      </c>
      <c r="HV28" s="12">
        <f t="shared" si="101"/>
        <v>130.16505602653186</v>
      </c>
      <c r="HW28" s="12">
        <f t="shared" si="183"/>
        <v>95.290070361140209</v>
      </c>
      <c r="HX28" s="12">
        <f t="shared" si="102"/>
        <v>144.14901473039924</v>
      </c>
      <c r="HY28" s="12">
        <f t="shared" si="103"/>
        <v>106.38137226437902</v>
      </c>
      <c r="HZ28" s="12">
        <f t="shared" si="104"/>
        <v>76.975341587923737</v>
      </c>
      <c r="IA28" s="12">
        <f t="shared" si="105"/>
        <v>104.08236739217823</v>
      </c>
      <c r="IB28" s="12">
        <f t="shared" si="184"/>
        <v>93.087343990875198</v>
      </c>
      <c r="IC28" s="158">
        <f t="shared" si="106"/>
        <v>165.41484430922796</v>
      </c>
      <c r="ID28" s="2">
        <f t="shared" si="107"/>
        <v>96.202477235942752</v>
      </c>
      <c r="IE28" s="2">
        <f t="shared" si="108"/>
        <v>102.40404723838741</v>
      </c>
      <c r="IF28" s="2">
        <f t="shared" si="109"/>
        <v>98.425196850393689</v>
      </c>
      <c r="IG28" s="2">
        <f t="shared" si="110"/>
        <v>146.23179933842562</v>
      </c>
      <c r="IH28" s="2">
        <f t="shared" si="185"/>
        <v>97.744913631085979</v>
      </c>
      <c r="II28" s="2">
        <f t="shared" si="111"/>
        <v>161.67023613617417</v>
      </c>
      <c r="IJ28" s="2">
        <f t="shared" si="112"/>
        <v>106.44872768135049</v>
      </c>
      <c r="IK28" s="2">
        <f t="shared" si="113"/>
        <v>95.601173020527852</v>
      </c>
      <c r="IL28" s="2">
        <f t="shared" si="114"/>
        <v>60.449907558709427</v>
      </c>
      <c r="IM28" s="2">
        <f t="shared" si="186"/>
        <v>100</v>
      </c>
      <c r="IN28" s="159">
        <f t="shared" si="115"/>
        <v>139.81270514198056</v>
      </c>
      <c r="IO28" s="12">
        <f t="shared" si="116"/>
        <v>86.340855031368704</v>
      </c>
      <c r="IP28" s="12">
        <f t="shared" si="117"/>
        <v>92.15998338848938</v>
      </c>
      <c r="IQ28" s="12">
        <f t="shared" si="118"/>
        <v>90.340346189136582</v>
      </c>
      <c r="IR28" s="12">
        <f t="shared" si="119"/>
        <v>130.16505602653186</v>
      </c>
      <c r="IS28" s="12">
        <f t="shared" si="187"/>
        <v>95.576057859546651</v>
      </c>
      <c r="IT28" s="12">
        <f t="shared" si="120"/>
        <v>144.14901473039924</v>
      </c>
      <c r="IU28" s="12">
        <f t="shared" si="121"/>
        <v>106.73218502850705</v>
      </c>
      <c r="IV28" s="12">
        <f t="shared" si="122"/>
        <v>85.993281174710262</v>
      </c>
      <c r="IW28" s="12">
        <f t="shared" si="123"/>
        <v>66.412557813152517</v>
      </c>
      <c r="IX28" s="12">
        <f t="shared" si="188"/>
        <v>92.748733789713683</v>
      </c>
      <c r="IY28" s="160">
        <f t="shared" si="124"/>
        <v>141.76315107922412</v>
      </c>
      <c r="IZ28" s="25">
        <f t="shared" si="125"/>
        <v>85.391147785210947</v>
      </c>
      <c r="JA28" s="25">
        <f t="shared" si="126"/>
        <v>92.011847932545137</v>
      </c>
      <c r="JB28" s="25">
        <f t="shared" si="127"/>
        <v>90.340346189136582</v>
      </c>
      <c r="JC28" s="25">
        <f t="shared" si="128"/>
        <v>130.16505602653186</v>
      </c>
      <c r="JD28" s="25">
        <f t="shared" si="189"/>
        <v>94.508883614275547</v>
      </c>
      <c r="JE28" s="25">
        <f t="shared" si="129"/>
        <v>135.51907883332254</v>
      </c>
      <c r="JF28" s="25">
        <f t="shared" si="130"/>
        <v>107.77337185220507</v>
      </c>
      <c r="JG28" s="25">
        <f t="shared" si="131"/>
        <v>87.077973807222293</v>
      </c>
      <c r="JH28" s="25">
        <f t="shared" si="132"/>
        <v>69.748378518590314</v>
      </c>
      <c r="JI28" s="25">
        <f t="shared" si="190"/>
        <v>98.92021429427902</v>
      </c>
    </row>
    <row r="29" spans="1:269" x14ac:dyDescent="0.35">
      <c r="A29" s="109">
        <v>2014</v>
      </c>
      <c r="B29" s="110">
        <v>900327000000</v>
      </c>
      <c r="C29" s="111">
        <v>90.9</v>
      </c>
      <c r="D29" s="112">
        <f t="shared" si="133"/>
        <v>0.90900000000000003</v>
      </c>
      <c r="E29" s="111">
        <f t="shared" si="134"/>
        <v>9904587458.7458744</v>
      </c>
      <c r="F29" s="113">
        <f t="shared" si="135"/>
        <v>990458745874.5874</v>
      </c>
      <c r="G29" s="114">
        <v>66126000000</v>
      </c>
      <c r="H29" s="110">
        <v>16508000000</v>
      </c>
      <c r="I29" s="110">
        <v>342630000000</v>
      </c>
      <c r="J29" s="110">
        <v>120241000000</v>
      </c>
      <c r="K29" s="112">
        <v>92.8</v>
      </c>
      <c r="L29" s="112">
        <f t="shared" si="136"/>
        <v>0.92799999999999994</v>
      </c>
      <c r="M29" s="112">
        <f t="shared" si="137"/>
        <v>712564655.17241383</v>
      </c>
      <c r="N29" s="112">
        <f t="shared" si="138"/>
        <v>3692133620.6896553</v>
      </c>
      <c r="O29" s="112">
        <f t="shared" si="139"/>
        <v>3692133620.6896553</v>
      </c>
      <c r="P29" s="112">
        <f t="shared" si="140"/>
        <v>71256465517.241379</v>
      </c>
      <c r="Q29" s="112">
        <f t="shared" si="141"/>
        <v>17788793103.448277</v>
      </c>
      <c r="R29" s="112">
        <f t="shared" si="142"/>
        <v>369213362068.96552</v>
      </c>
      <c r="S29" s="115">
        <f t="shared" si="143"/>
        <v>458258620689.65515</v>
      </c>
      <c r="T29" s="112">
        <f t="shared" si="144"/>
        <v>1295700431.0344827</v>
      </c>
      <c r="U29" s="115">
        <f t="shared" si="145"/>
        <v>129570043103.44829</v>
      </c>
      <c r="V29" s="116">
        <f t="shared" si="146"/>
        <v>1578287409667.6909</v>
      </c>
      <c r="W29" s="117">
        <f t="shared" si="147"/>
        <v>1445832000000</v>
      </c>
      <c r="X29" s="112">
        <v>86.821550000000002</v>
      </c>
      <c r="Y29" s="112">
        <f t="shared" si="148"/>
        <v>0.86821550000000003</v>
      </c>
      <c r="Z29" s="112">
        <f t="shared" si="149"/>
        <v>1665291624026.5232</v>
      </c>
      <c r="AA29" s="115">
        <v>0.25572459045095153</v>
      </c>
      <c r="AB29" s="115">
        <v>0.3225708924599906</v>
      </c>
      <c r="AC29" s="115">
        <f t="shared" si="150"/>
        <v>0.57829548291094213</v>
      </c>
      <c r="AD29" s="118">
        <v>0.282637789541269</v>
      </c>
      <c r="AE29" s="115">
        <f t="shared" si="151"/>
        <v>0.86093327245221118</v>
      </c>
      <c r="AF29" s="115">
        <f t="shared" si="152"/>
        <v>0.13906672754778882</v>
      </c>
      <c r="AG29" s="119">
        <v>0.25559790718922681</v>
      </c>
      <c r="AH29" s="119">
        <v>0.31283612879057937</v>
      </c>
      <c r="AI29" s="119">
        <f t="shared" si="153"/>
        <v>0.56843403597980613</v>
      </c>
      <c r="AJ29" s="16">
        <v>2370000</v>
      </c>
      <c r="AK29" s="120">
        <v>25133000</v>
      </c>
      <c r="AL29" s="121">
        <f t="shared" si="154"/>
        <v>27503000</v>
      </c>
      <c r="AM29" s="122">
        <v>0.20414170000000001</v>
      </c>
      <c r="AN29" s="123">
        <f t="shared" si="191"/>
        <v>5130693.3461000007</v>
      </c>
      <c r="AO29" s="124">
        <f t="shared" si="205"/>
        <v>0.79585830000000002</v>
      </c>
      <c r="AP29" s="123">
        <f t="shared" si="155"/>
        <v>20002306.653900001</v>
      </c>
      <c r="AQ29" s="125">
        <v>0.49939359999999999</v>
      </c>
      <c r="AR29" s="123">
        <f t="shared" si="156"/>
        <v>9989023.9281950761</v>
      </c>
      <c r="AS29" s="123">
        <f t="shared" si="157"/>
        <v>10013282.725704925</v>
      </c>
      <c r="AT29" s="115">
        <f t="shared" si="0"/>
        <v>487.62109554533384</v>
      </c>
      <c r="AU29" s="126">
        <v>0.70201013800000001</v>
      </c>
      <c r="AV29" s="123">
        <f t="shared" si="1"/>
        <v>3601798.7439313433</v>
      </c>
      <c r="AW29" s="123">
        <f t="shared" si="158"/>
        <v>1528894.6021686574</v>
      </c>
      <c r="AX29" s="127">
        <f t="shared" si="159"/>
        <v>13590822.67212642</v>
      </c>
      <c r="AY29" s="127">
        <f t="shared" si="159"/>
        <v>11542177.327873582</v>
      </c>
      <c r="AZ29" s="16">
        <f t="shared" si="2"/>
        <v>91328278571.379669</v>
      </c>
      <c r="BA29" s="16">
        <f t="shared" si="3"/>
        <v>38241764532.068619</v>
      </c>
      <c r="BB29" s="16">
        <f t="shared" si="4"/>
        <v>253284657147.34195</v>
      </c>
      <c r="BC29" s="16">
        <f t="shared" si="5"/>
        <v>319493161601.56866</v>
      </c>
      <c r="BD29" s="17">
        <f t="shared" si="6"/>
        <v>279941070565.81085</v>
      </c>
      <c r="BE29" s="16">
        <f t="shared" si="160"/>
        <v>852718889314.72144</v>
      </c>
      <c r="BF29" s="117">
        <v>990458745874.5874</v>
      </c>
      <c r="BG29" s="116">
        <f t="shared" si="161"/>
        <v>0.86093327245221107</v>
      </c>
      <c r="BH29" s="115">
        <v>0.86093327245221085</v>
      </c>
      <c r="BI29" s="17">
        <v>11550461.114018168</v>
      </c>
      <c r="BJ29" s="7">
        <f t="shared" si="162"/>
        <v>852718889314.72119</v>
      </c>
      <c r="BK29" s="16">
        <f t="shared" si="163"/>
        <v>344612935718.72162</v>
      </c>
      <c r="BL29" s="112">
        <f t="shared" si="7"/>
        <v>36012.753004202721</v>
      </c>
      <c r="BM29" s="112">
        <f t="shared" si="8"/>
        <v>31004.577293921433</v>
      </c>
      <c r="BN29" s="115">
        <f t="shared" si="9"/>
        <v>25356.296968357361</v>
      </c>
      <c r="BO29" s="112">
        <f t="shared" si="164"/>
        <v>692.55294238851388</v>
      </c>
      <c r="BP29" s="112">
        <f t="shared" si="164"/>
        <v>596.24187103695067</v>
      </c>
      <c r="BQ29" s="115">
        <f t="shared" si="164"/>
        <v>487.62109554533384</v>
      </c>
      <c r="BR29" s="112">
        <f t="shared" si="10"/>
        <v>587828663793.10352</v>
      </c>
      <c r="BS29" s="115">
        <f t="shared" si="11"/>
        <v>1233674473948.9692</v>
      </c>
      <c r="BT29" s="112">
        <f t="shared" si="12"/>
        <v>587828663793.10339</v>
      </c>
      <c r="BU29" s="115">
        <f t="shared" si="13"/>
        <v>815993546823.29248</v>
      </c>
      <c r="BV29" s="118">
        <f t="shared" si="14"/>
        <v>1095934617389.1033</v>
      </c>
      <c r="BW29" s="112">
        <f t="shared" si="15"/>
        <v>57386.009150554157</v>
      </c>
      <c r="BX29" s="115">
        <f t="shared" si="16"/>
        <v>116128.90902510408</v>
      </c>
      <c r="BY29" s="128">
        <f t="shared" si="17"/>
        <v>1324133431111.2361</v>
      </c>
      <c r="BZ29" s="119">
        <f t="shared" si="18"/>
        <v>1466653483292.5464</v>
      </c>
      <c r="CA29" s="113">
        <v>37.6</v>
      </c>
      <c r="CB29" s="113">
        <v>16</v>
      </c>
      <c r="CC29" s="113">
        <v>9.5</v>
      </c>
      <c r="CD29" s="113">
        <v>19098155.230097957</v>
      </c>
      <c r="CE29" s="113">
        <v>6811032.7712115115</v>
      </c>
      <c r="CF29" s="113">
        <v>1194488.1287626701</v>
      </c>
      <c r="CG29" s="113">
        <f t="shared" si="165"/>
        <v>27103676.130072139</v>
      </c>
      <c r="CH29" s="113">
        <v>27503000</v>
      </c>
      <c r="CI29" s="113">
        <f t="shared" si="166"/>
        <v>399323.8699278608</v>
      </c>
      <c r="CJ29" s="122">
        <f t="shared" si="167"/>
        <v>0.70463339136893399</v>
      </c>
      <c r="CK29" s="122">
        <f t="shared" si="168"/>
        <v>0.25129553417495709</v>
      </c>
      <c r="CL29" s="122">
        <f t="shared" si="169"/>
        <v>4.4071074456108875E-2</v>
      </c>
      <c r="CM29" s="129">
        <f t="shared" si="19"/>
        <v>30.933619269604268</v>
      </c>
      <c r="CN29" s="16">
        <v>987018623.34460247</v>
      </c>
      <c r="CO29" s="16">
        <f t="shared" si="20"/>
        <v>838414798.21431279</v>
      </c>
      <c r="CP29" s="130">
        <v>31.61</v>
      </c>
      <c r="CQ29" s="131">
        <f t="shared" si="192"/>
        <v>30.257238539208537</v>
      </c>
      <c r="CR29" s="5">
        <v>32.979999999999997</v>
      </c>
      <c r="CS29" s="132">
        <v>36</v>
      </c>
      <c r="CT29" s="5">
        <f t="shared" si="21"/>
        <v>33.780351271522456</v>
      </c>
      <c r="CU29" s="5">
        <v>32.49</v>
      </c>
      <c r="CV29" s="5">
        <v>36.53</v>
      </c>
      <c r="CW29" s="133"/>
      <c r="CX29" s="134">
        <v>35.22</v>
      </c>
      <c r="CY29" s="5">
        <f t="shared" si="193"/>
        <v>32.784068577214342</v>
      </c>
      <c r="CZ29" s="5">
        <f t="shared" si="170"/>
        <v>33.94464272049732</v>
      </c>
      <c r="DA29" s="5">
        <f t="shared" si="194"/>
        <v>33.802932434458263</v>
      </c>
      <c r="DB29" s="117">
        <f t="shared" si="171"/>
        <v>1765.1214214658607</v>
      </c>
      <c r="DC29" s="135">
        <f t="shared" si="171"/>
        <v>1757.7524865918297</v>
      </c>
      <c r="DD29" s="5">
        <f t="shared" si="22"/>
        <v>1756.5782661191677</v>
      </c>
      <c r="DE29" s="131">
        <f t="shared" si="23"/>
        <v>423985949.7024442</v>
      </c>
      <c r="DF29" s="5">
        <f t="shared" si="24"/>
        <v>329438009.15187359</v>
      </c>
      <c r="DG29" s="131">
        <f t="shared" si="25"/>
        <v>596007708.26993763</v>
      </c>
      <c r="DH29" s="5">
        <f t="shared" si="26"/>
        <v>129664754.78152835</v>
      </c>
      <c r="DI29" s="7">
        <f t="shared" si="195"/>
        <v>933579508.74183786</v>
      </c>
      <c r="DJ29" s="136">
        <f t="shared" si="172"/>
        <v>1319841491.1055522</v>
      </c>
      <c r="DK29" s="16">
        <f t="shared" si="27"/>
        <v>459102763.93340194</v>
      </c>
      <c r="DL29" s="7">
        <f t="shared" si="196"/>
        <v>48546134454.575569</v>
      </c>
      <c r="DM29" s="136">
        <f t="shared" si="196"/>
        <v>68631757537.488716</v>
      </c>
      <c r="DN29" s="16">
        <f t="shared" si="173"/>
        <v>23873343724.5369</v>
      </c>
      <c r="DO29" s="117">
        <f t="shared" si="197"/>
        <v>1765.1214214658607</v>
      </c>
      <c r="DP29" s="135">
        <f t="shared" si="198"/>
        <v>1757.7524865918297</v>
      </c>
      <c r="DQ29" s="5">
        <f t="shared" si="28"/>
        <v>1756.5782661191677</v>
      </c>
      <c r="DR29" s="117">
        <f t="shared" si="29"/>
        <v>32.51108306356479</v>
      </c>
      <c r="DS29" s="135">
        <f t="shared" si="199"/>
        <v>22.996459165504877</v>
      </c>
      <c r="DT29" s="5">
        <f t="shared" si="30"/>
        <v>66.110865234413524</v>
      </c>
      <c r="DU29" s="137">
        <f t="shared" si="31"/>
        <v>27.989873132880479</v>
      </c>
      <c r="DV29" s="138">
        <f t="shared" si="32"/>
        <v>48.615162414352064</v>
      </c>
      <c r="DW29" s="130">
        <f t="shared" si="33"/>
        <v>60.341256328799787</v>
      </c>
      <c r="DX29" s="137">
        <v>27.275774806544536</v>
      </c>
      <c r="DY29" s="138">
        <v>61.434774291174278</v>
      </c>
      <c r="DZ29" s="137">
        <f t="shared" si="34"/>
        <v>32.51108306356479</v>
      </c>
      <c r="EA29" s="138">
        <v>45.138959281786349</v>
      </c>
      <c r="EB29" s="130">
        <v>56.060855885644997</v>
      </c>
      <c r="EC29" s="139">
        <f t="shared" si="35"/>
        <v>0.59349131525315924</v>
      </c>
      <c r="ED29" s="140">
        <f t="shared" si="36"/>
        <v>3.5798844038632183</v>
      </c>
      <c r="EE29" s="139">
        <f t="shared" si="37"/>
        <v>0.59349131525315912</v>
      </c>
      <c r="EF29" s="141">
        <f t="shared" si="38"/>
        <v>3.1801900155124239</v>
      </c>
      <c r="EG29" s="142">
        <f t="shared" si="39"/>
        <v>2.367855243510995</v>
      </c>
      <c r="EH29" s="117">
        <f t="shared" si="40"/>
        <v>21.302056933460292</v>
      </c>
      <c r="EI29" s="117">
        <f t="shared" si="41"/>
        <v>12.642585787037028</v>
      </c>
      <c r="EJ29" s="135">
        <f t="shared" si="42"/>
        <v>8.0864583449598442</v>
      </c>
      <c r="EK29" s="135">
        <f t="shared" si="43"/>
        <v>25.716474089498419</v>
      </c>
      <c r="EL29" s="143">
        <f t="shared" si="44"/>
        <v>10.030226606861635</v>
      </c>
      <c r="EM29" s="143">
        <f t="shared" si="45"/>
        <v>23.75012466466082</v>
      </c>
      <c r="EN29" s="144">
        <f t="shared" si="46"/>
        <v>23.595986774503672</v>
      </c>
      <c r="EO29" s="145">
        <f t="shared" si="47"/>
        <v>14.00401322549633</v>
      </c>
      <c r="EP29" s="146">
        <f t="shared" si="48"/>
        <v>10.030226606861635</v>
      </c>
      <c r="EQ29" s="134">
        <f t="shared" si="49"/>
        <v>23.75012466466082</v>
      </c>
      <c r="ER29" s="130">
        <f t="shared" si="50"/>
        <v>8.0810563984330095</v>
      </c>
      <c r="ES29" s="130">
        <f t="shared" si="51"/>
        <v>25.699294873089446</v>
      </c>
      <c r="ET29" s="117">
        <f t="shared" si="200"/>
        <v>9.4246427204973209</v>
      </c>
      <c r="EU29" s="135">
        <f t="shared" si="201"/>
        <v>24.312932434458261</v>
      </c>
      <c r="EV29" s="5">
        <f t="shared" si="52"/>
        <v>22.170351271522456</v>
      </c>
      <c r="EW29" s="145">
        <f t="shared" si="53"/>
        <v>13.14</v>
      </c>
      <c r="EX29" s="134">
        <f t="shared" si="54"/>
        <v>22.114351271522455</v>
      </c>
      <c r="EY29" s="130">
        <f t="shared" si="55"/>
        <v>24.310351271522457</v>
      </c>
      <c r="EZ29" s="117">
        <f t="shared" si="202"/>
        <v>38.436552693708485</v>
      </c>
      <c r="FA29" s="135">
        <f t="shared" si="203"/>
        <v>256.1952838193705</v>
      </c>
      <c r="FB29" s="5">
        <f t="shared" si="174"/>
        <v>190.95909794592987</v>
      </c>
      <c r="FC29" s="145">
        <f t="shared" si="56"/>
        <v>53.720359771054781</v>
      </c>
      <c r="FD29" s="134">
        <f t="shared" si="57"/>
        <v>189.56241446530478</v>
      </c>
      <c r="FE29" s="130">
        <f t="shared" si="58"/>
        <v>256.70909473624556</v>
      </c>
      <c r="FF29" s="117">
        <f t="shared" si="59"/>
        <v>17.565124368709665</v>
      </c>
      <c r="FG29" s="135">
        <f t="shared" si="175"/>
        <v>20.487954520849041</v>
      </c>
      <c r="FH29" s="5">
        <f t="shared" si="60"/>
        <v>14.435051063439019</v>
      </c>
      <c r="FI29" s="145">
        <f t="shared" si="61"/>
        <v>17.565124368709668</v>
      </c>
      <c r="FJ29" s="134">
        <f t="shared" si="62"/>
        <v>14.435051063439019</v>
      </c>
      <c r="FK29" s="145">
        <f t="shared" si="63"/>
        <v>20.402422499804921</v>
      </c>
      <c r="FL29" s="134">
        <f t="shared" si="64"/>
        <v>14.435051063439019</v>
      </c>
      <c r="FM29" s="130">
        <v>13.445068437670477</v>
      </c>
      <c r="FN29" s="111">
        <v>100</v>
      </c>
      <c r="FO29" s="147">
        <f t="shared" si="65"/>
        <v>3.0758741505006988</v>
      </c>
      <c r="FP29" s="148">
        <f t="shared" si="66"/>
        <v>4.3484955349126917</v>
      </c>
      <c r="FQ29" s="149">
        <f t="shared" si="67"/>
        <v>1.5126106676326743</v>
      </c>
      <c r="FR29" s="150">
        <f t="shared" si="68"/>
        <v>3.0758741505006987E-2</v>
      </c>
      <c r="FS29" s="151">
        <f t="shared" si="68"/>
        <v>4.3484955349126914E-2</v>
      </c>
      <c r="FT29" s="122">
        <f t="shared" si="68"/>
        <v>1.5126106676326743E-2</v>
      </c>
      <c r="FU29" s="152">
        <f t="shared" si="69"/>
        <v>1.1565286805882626</v>
      </c>
      <c r="FV29" s="140">
        <f t="shared" si="70"/>
        <v>0.69485217355871454</v>
      </c>
      <c r="FW29" s="153">
        <f t="shared" si="71"/>
        <v>0.55982180893704236</v>
      </c>
      <c r="FX29" s="152">
        <f t="shared" si="72"/>
        <v>1.6346313338833551</v>
      </c>
      <c r="FY29" s="140">
        <f t="shared" si="73"/>
        <v>0.51096519689683839</v>
      </c>
      <c r="FZ29" s="140">
        <f t="shared" si="176"/>
        <v>36.132313025053158</v>
      </c>
      <c r="GA29" s="153">
        <f t="shared" si="176"/>
        <v>29.110734064726202</v>
      </c>
      <c r="GB29" s="152">
        <f t="shared" si="74"/>
        <v>3.5727207310035002E-2</v>
      </c>
      <c r="GC29" s="154">
        <f t="shared" si="75"/>
        <v>1.5126106676326741E-2</v>
      </c>
      <c r="GD29" s="152">
        <f t="shared" si="76"/>
        <v>3.075874150500699E-2</v>
      </c>
      <c r="GE29" s="154">
        <f t="shared" si="77"/>
        <v>2.0569714268912576E-2</v>
      </c>
      <c r="GF29" s="155">
        <f t="shared" si="78"/>
        <v>1.7792663249214587E-2</v>
      </c>
      <c r="GG29" s="152">
        <f t="shared" si="79"/>
        <v>404.03524793230957</v>
      </c>
      <c r="GH29" s="134">
        <f t="shared" si="80"/>
        <v>33.780351271522456</v>
      </c>
      <c r="GI29" s="130">
        <f t="shared" si="81"/>
        <v>33.780351271522456</v>
      </c>
      <c r="GJ29" s="152">
        <f t="shared" si="82"/>
        <v>0.97448726105524652</v>
      </c>
      <c r="GK29" s="154">
        <f t="shared" si="82"/>
        <v>0.92926894956435768</v>
      </c>
      <c r="GL29" s="152">
        <f t="shared" si="82"/>
        <v>1.0000000000000002</v>
      </c>
      <c r="GM29" s="154">
        <f t="shared" si="82"/>
        <v>0.92849549482242444</v>
      </c>
      <c r="GN29" s="154">
        <f t="shared" si="82"/>
        <v>0.99747193023603098</v>
      </c>
      <c r="GO29" s="112">
        <f t="shared" si="177"/>
        <v>0.54028111996043959</v>
      </c>
      <c r="GP29" s="156">
        <f t="shared" si="177"/>
        <v>0.89091778753406348</v>
      </c>
      <c r="GQ29" s="115">
        <f t="shared" si="177"/>
        <v>0.2183461222638024</v>
      </c>
      <c r="GR29" s="117">
        <f t="shared" si="204"/>
        <v>385.4074177018415</v>
      </c>
      <c r="GS29" s="135">
        <f t="shared" si="178"/>
        <v>1566.0129563868916</v>
      </c>
      <c r="GT29" s="5">
        <f t="shared" si="178"/>
        <v>383.54205285999382</v>
      </c>
      <c r="GU29" s="130">
        <f t="shared" si="83"/>
        <v>420.21493271851654</v>
      </c>
      <c r="GV29" s="145">
        <f t="shared" si="84"/>
        <v>953.66177845573839</v>
      </c>
      <c r="GW29" s="134">
        <f t="shared" si="85"/>
        <v>412.73525069335278</v>
      </c>
      <c r="GX29" s="157">
        <f t="shared" si="179"/>
        <v>0.62755283974743792</v>
      </c>
      <c r="GY29" s="154">
        <f t="shared" si="86"/>
        <v>0.21834612226380237</v>
      </c>
      <c r="GZ29" s="157">
        <f t="shared" si="86"/>
        <v>0.62755283974743803</v>
      </c>
      <c r="HA29" s="154">
        <f t="shared" si="86"/>
        <v>0.29692487583210325</v>
      </c>
      <c r="HB29" s="155">
        <f t="shared" si="86"/>
        <v>0.23922357507411446</v>
      </c>
      <c r="HC29" s="157">
        <f t="shared" si="87"/>
        <v>0.64398259969850968</v>
      </c>
      <c r="HD29" s="154">
        <f t="shared" si="88"/>
        <v>0.23496547728853232</v>
      </c>
      <c r="HE29" s="144">
        <v>100</v>
      </c>
      <c r="HF29" s="146"/>
      <c r="HG29" s="158">
        <f t="shared" si="89"/>
        <v>138.87869046102105</v>
      </c>
      <c r="HH29" s="2">
        <f t="shared" si="90"/>
        <v>87.089357863697032</v>
      </c>
      <c r="HI29" s="2">
        <f t="shared" si="91"/>
        <v>92.687579083849172</v>
      </c>
      <c r="HJ29" s="2">
        <f t="shared" si="92"/>
        <v>98.687664041994751</v>
      </c>
      <c r="HK29" s="2">
        <f t="shared" si="93"/>
        <v>144.18165790066783</v>
      </c>
      <c r="HL29" s="2">
        <f t="shared" si="180"/>
        <v>97.749663512061986</v>
      </c>
      <c r="HM29" s="2">
        <f t="shared" si="94"/>
        <v>163.70106587800245</v>
      </c>
      <c r="HN29" s="2">
        <f t="shared" si="95"/>
        <v>106.43484070464288</v>
      </c>
      <c r="HO29" s="2">
        <f t="shared" si="181"/>
        <v>69.095621118015544</v>
      </c>
      <c r="HP29" s="2">
        <f t="shared" si="96"/>
        <v>96.485904529649574</v>
      </c>
      <c r="HQ29" s="2">
        <f t="shared" si="182"/>
        <v>82.93579188378169</v>
      </c>
      <c r="HR29" s="159">
        <f t="shared" si="97"/>
        <v>137.74613069770015</v>
      </c>
      <c r="HS29" s="12">
        <f t="shared" si="98"/>
        <v>117.03881688286621</v>
      </c>
      <c r="HT29" s="12">
        <f t="shared" si="99"/>
        <v>82.066774929719486</v>
      </c>
      <c r="HU29" s="12">
        <f t="shared" si="100"/>
        <v>90.056921544981222</v>
      </c>
      <c r="HV29" s="12">
        <f t="shared" si="101"/>
        <v>127.64053756976573</v>
      </c>
      <c r="HW29" s="12">
        <f t="shared" si="183"/>
        <v>95.598127085727839</v>
      </c>
      <c r="HX29" s="12">
        <f t="shared" si="102"/>
        <v>141.79814404164065</v>
      </c>
      <c r="HY29" s="12">
        <f t="shared" si="103"/>
        <v>105.9432032536628</v>
      </c>
      <c r="HZ29" s="12">
        <f t="shared" si="104"/>
        <v>76.607986425440416</v>
      </c>
      <c r="IA29" s="12">
        <f t="shared" si="105"/>
        <v>107.76650524598705</v>
      </c>
      <c r="IB29" s="12">
        <f t="shared" si="184"/>
        <v>92.926894956435774</v>
      </c>
      <c r="IC29" s="158">
        <f t="shared" si="106"/>
        <v>165.53504614849689</v>
      </c>
      <c r="ID29" s="2">
        <f t="shared" si="107"/>
        <v>96.463704568511815</v>
      </c>
      <c r="IE29" s="2">
        <f t="shared" si="108"/>
        <v>102.66871866199654</v>
      </c>
      <c r="IF29" s="2">
        <f t="shared" si="109"/>
        <v>98.687664041994751</v>
      </c>
      <c r="IG29" s="2">
        <f t="shared" si="110"/>
        <v>145.85182576197238</v>
      </c>
      <c r="IH29" s="2">
        <f t="shared" si="185"/>
        <v>97.749663512061986</v>
      </c>
      <c r="II29" s="2">
        <f t="shared" si="111"/>
        <v>161.79557890408344</v>
      </c>
      <c r="IJ29" s="2">
        <f t="shared" si="112"/>
        <v>106.43484070464287</v>
      </c>
      <c r="IK29" s="2">
        <f t="shared" si="113"/>
        <v>96.334310850439891</v>
      </c>
      <c r="IL29" s="2">
        <f t="shared" si="114"/>
        <v>60.406012382181842</v>
      </c>
      <c r="IM29" s="2">
        <f t="shared" si="186"/>
        <v>100.00000000000003</v>
      </c>
      <c r="IN29" s="159">
        <f t="shared" si="115"/>
        <v>137.82888330316442</v>
      </c>
      <c r="IO29" s="12">
        <f t="shared" si="116"/>
        <v>85.978283960754638</v>
      </c>
      <c r="IP29" s="12">
        <f t="shared" si="117"/>
        <v>91.912247154260143</v>
      </c>
      <c r="IQ29" s="12">
        <f t="shared" si="118"/>
        <v>90.056921544981222</v>
      </c>
      <c r="IR29" s="12">
        <f t="shared" si="119"/>
        <v>127.64053756976573</v>
      </c>
      <c r="IS29" s="12">
        <f t="shared" si="187"/>
        <v>95.47423660196246</v>
      </c>
      <c r="IT29" s="12">
        <f t="shared" si="120"/>
        <v>141.79814404164065</v>
      </c>
      <c r="IU29" s="12">
        <f t="shared" si="121"/>
        <v>106.89415763838832</v>
      </c>
      <c r="IV29" s="12">
        <f t="shared" si="122"/>
        <v>85.581854765953778</v>
      </c>
      <c r="IW29" s="12">
        <f t="shared" si="123"/>
        <v>67.441686127582216</v>
      </c>
      <c r="IX29" s="12">
        <f t="shared" si="188"/>
        <v>92.849549482242438</v>
      </c>
      <c r="IY29" s="160">
        <f t="shared" si="124"/>
        <v>138.9708871731408</v>
      </c>
      <c r="IZ29" s="25">
        <f t="shared" si="125"/>
        <v>85.33322490425563</v>
      </c>
      <c r="JA29" s="25">
        <f t="shared" si="126"/>
        <v>91.652264169363221</v>
      </c>
      <c r="JB29" s="25">
        <f t="shared" si="127"/>
        <v>90.056921544981222</v>
      </c>
      <c r="JC29" s="25">
        <f t="shared" si="128"/>
        <v>127.64053756976573</v>
      </c>
      <c r="JD29" s="25">
        <f t="shared" si="189"/>
        <v>94.742009930342363</v>
      </c>
      <c r="JE29" s="25">
        <f t="shared" si="129"/>
        <v>132.07336382780431</v>
      </c>
      <c r="JF29" s="25">
        <f t="shared" si="130"/>
        <v>107.42506082031443</v>
      </c>
      <c r="JG29" s="25">
        <f t="shared" si="131"/>
        <v>86.698827644516612</v>
      </c>
      <c r="JH29" s="25">
        <f t="shared" si="132"/>
        <v>71.744609875865279</v>
      </c>
      <c r="JI29" s="25">
        <f t="shared" si="190"/>
        <v>99.747193023603103</v>
      </c>
    </row>
    <row r="30" spans="1:269" x14ac:dyDescent="0.35">
      <c r="A30" s="109">
        <v>2015</v>
      </c>
      <c r="B30" s="110">
        <v>928123000000</v>
      </c>
      <c r="C30" s="111">
        <v>91.3</v>
      </c>
      <c r="D30" s="112">
        <f t="shared" si="133"/>
        <v>0.91299999999999992</v>
      </c>
      <c r="E30" s="111">
        <f t="shared" si="134"/>
        <v>10165640744.797371</v>
      </c>
      <c r="F30" s="113">
        <f t="shared" si="135"/>
        <v>1016564074479.7372</v>
      </c>
      <c r="G30" s="114">
        <v>58603000000</v>
      </c>
      <c r="H30" s="110">
        <v>17397000000</v>
      </c>
      <c r="I30" s="110">
        <v>356065000000</v>
      </c>
      <c r="J30" s="110">
        <v>126219000000</v>
      </c>
      <c r="K30" s="112">
        <v>93.5</v>
      </c>
      <c r="L30" s="112">
        <f t="shared" si="136"/>
        <v>0.93500000000000005</v>
      </c>
      <c r="M30" s="112">
        <f t="shared" si="137"/>
        <v>626770053.47593582</v>
      </c>
      <c r="N30" s="112">
        <f t="shared" si="138"/>
        <v>3808181818.181818</v>
      </c>
      <c r="O30" s="112">
        <f t="shared" si="139"/>
        <v>3808181818.181818</v>
      </c>
      <c r="P30" s="112">
        <f t="shared" si="140"/>
        <v>62677005347.593582</v>
      </c>
      <c r="Q30" s="112">
        <f t="shared" si="141"/>
        <v>18606417112.299465</v>
      </c>
      <c r="R30" s="112">
        <f t="shared" si="142"/>
        <v>380818181818.18182</v>
      </c>
      <c r="S30" s="115">
        <f t="shared" si="143"/>
        <v>462101604278.07489</v>
      </c>
      <c r="T30" s="112">
        <f t="shared" si="144"/>
        <v>1349935828.8770053</v>
      </c>
      <c r="U30" s="115">
        <f t="shared" si="145"/>
        <v>134993582887.70053</v>
      </c>
      <c r="V30" s="116">
        <f t="shared" si="146"/>
        <v>1613659261645.5125</v>
      </c>
      <c r="W30" s="117">
        <f t="shared" si="147"/>
        <v>1486407000000</v>
      </c>
      <c r="X30" s="112">
        <v>87.267074999999991</v>
      </c>
      <c r="Y30" s="112">
        <f t="shared" si="148"/>
        <v>0.87267074999999994</v>
      </c>
      <c r="Z30" s="112">
        <f t="shared" si="149"/>
        <v>1703285001817.696</v>
      </c>
      <c r="AA30" s="115">
        <v>0.23729942747675492</v>
      </c>
      <c r="AB30" s="115">
        <v>0.30839640335905272</v>
      </c>
      <c r="AC30" s="115">
        <f t="shared" si="150"/>
        <v>0.54569583083580764</v>
      </c>
      <c r="AD30" s="118">
        <v>0.30424815801761523</v>
      </c>
      <c r="AE30" s="115">
        <f t="shared" si="151"/>
        <v>0.84994398885342282</v>
      </c>
      <c r="AF30" s="115">
        <f t="shared" si="152"/>
        <v>0.15005601114657707</v>
      </c>
      <c r="AG30" s="119">
        <v>0.24821374863958312</v>
      </c>
      <c r="AH30" s="119">
        <v>0.31391649415779593</v>
      </c>
      <c r="AI30" s="119">
        <f t="shared" si="153"/>
        <v>0.56213024279737911</v>
      </c>
      <c r="AJ30" s="16">
        <v>2286000</v>
      </c>
      <c r="AK30" s="120">
        <v>25676000</v>
      </c>
      <c r="AL30" s="121">
        <f t="shared" si="154"/>
        <v>27962000</v>
      </c>
      <c r="AM30" s="122">
        <v>0.20890040000000001</v>
      </c>
      <c r="AN30" s="123">
        <f t="shared" si="191"/>
        <v>5363726.6704000002</v>
      </c>
      <c r="AO30" s="124">
        <f t="shared" si="205"/>
        <v>0.79109960000000001</v>
      </c>
      <c r="AP30" s="123">
        <f t="shared" si="155"/>
        <v>20312273.329599999</v>
      </c>
      <c r="AQ30" s="125">
        <v>0.48673880000000003</v>
      </c>
      <c r="AR30" s="123">
        <f t="shared" si="156"/>
        <v>9886771.5457215086</v>
      </c>
      <c r="AS30" s="123">
        <f t="shared" si="157"/>
        <v>10425501.78387849</v>
      </c>
      <c r="AT30" s="115">
        <f t="shared" si="0"/>
        <v>469.21685621871916</v>
      </c>
      <c r="AU30" s="126">
        <v>0.68051870000000003</v>
      </c>
      <c r="AV30" s="123">
        <f t="shared" si="1"/>
        <v>3650116.3008959368</v>
      </c>
      <c r="AW30" s="123">
        <f t="shared" si="158"/>
        <v>1713610.3695040634</v>
      </c>
      <c r="AX30" s="127">
        <f t="shared" si="159"/>
        <v>13536887.846617445</v>
      </c>
      <c r="AY30" s="127">
        <f t="shared" si="159"/>
        <v>12139112.153382555</v>
      </c>
      <c r="AZ30" s="16">
        <f t="shared" si="2"/>
        <v>89060196968.032776</v>
      </c>
      <c r="BA30" s="16">
        <f t="shared" si="3"/>
        <v>45933385919.667755</v>
      </c>
      <c r="BB30" s="16">
        <f t="shared" si="4"/>
        <v>241230072867.47888</v>
      </c>
      <c r="BC30" s="16">
        <f t="shared" si="5"/>
        <v>313504704353.57513</v>
      </c>
      <c r="BD30" s="17">
        <f t="shared" si="6"/>
        <v>309287747167.34186</v>
      </c>
      <c r="BE30" s="16">
        <f t="shared" si="160"/>
        <v>864022524388.39575</v>
      </c>
      <c r="BF30" s="117">
        <v>1016564074479.7372</v>
      </c>
      <c r="BG30" s="116">
        <f t="shared" si="161"/>
        <v>0.8499439888534227</v>
      </c>
      <c r="BH30" s="115">
        <v>0.84994398885342282</v>
      </c>
      <c r="BI30" s="17">
        <v>13393029.00855536</v>
      </c>
      <c r="BJ30" s="7">
        <f t="shared" si="162"/>
        <v>864022524388.39587</v>
      </c>
      <c r="BK30" s="16">
        <f t="shared" si="163"/>
        <v>330290269835.51166</v>
      </c>
      <c r="BL30" s="112">
        <f t="shared" si="7"/>
        <v>36355.199001492641</v>
      </c>
      <c r="BM30" s="112">
        <f t="shared" si="8"/>
        <v>30899.88285488863</v>
      </c>
      <c r="BN30" s="115">
        <f t="shared" si="9"/>
        <v>24399.276523373395</v>
      </c>
      <c r="BO30" s="112">
        <f t="shared" si="164"/>
        <v>699.13844233639691</v>
      </c>
      <c r="BP30" s="112">
        <f t="shared" si="164"/>
        <v>594.228516440166</v>
      </c>
      <c r="BQ30" s="115">
        <f t="shared" si="164"/>
        <v>469.21685621871916</v>
      </c>
      <c r="BR30" s="112">
        <f t="shared" si="10"/>
        <v>597095187165.77527</v>
      </c>
      <c r="BS30" s="115">
        <f t="shared" si="11"/>
        <v>1283368991810.0007</v>
      </c>
      <c r="BT30" s="112">
        <f t="shared" si="12"/>
        <v>597095187165.77539</v>
      </c>
      <c r="BU30" s="115">
        <f t="shared" si="13"/>
        <v>821539694551.31787</v>
      </c>
      <c r="BV30" s="118">
        <f t="shared" si="14"/>
        <v>1130827441718.6597</v>
      </c>
      <c r="BW30" s="112">
        <f t="shared" si="15"/>
        <v>57709.007282938001</v>
      </c>
      <c r="BX30" s="115">
        <f t="shared" si="16"/>
        <v>119204.59709273047</v>
      </c>
      <c r="BY30" s="128">
        <f t="shared" si="17"/>
        <v>1347467954060.0654</v>
      </c>
      <c r="BZ30" s="119">
        <f t="shared" si="18"/>
        <v>1492697930528.0891</v>
      </c>
      <c r="CA30" s="113">
        <v>37.5</v>
      </c>
      <c r="CB30" s="113">
        <v>16.3</v>
      </c>
      <c r="CC30" s="113">
        <v>9.4</v>
      </c>
      <c r="CD30" s="113">
        <v>19562345.374079455</v>
      </c>
      <c r="CE30" s="113">
        <v>6909036.9737029495</v>
      </c>
      <c r="CF30" s="113">
        <v>1186207.0551751761</v>
      </c>
      <c r="CG30" s="113">
        <f t="shared" si="165"/>
        <v>27657589.402957581</v>
      </c>
      <c r="CH30" s="113">
        <v>27962000</v>
      </c>
      <c r="CI30" s="113">
        <f t="shared" si="166"/>
        <v>304410.59704241902</v>
      </c>
      <c r="CJ30" s="122">
        <f t="shared" si="167"/>
        <v>0.70730478672835972</v>
      </c>
      <c r="CK30" s="122">
        <f t="shared" si="168"/>
        <v>0.24980618784383746</v>
      </c>
      <c r="CL30" s="122">
        <f t="shared" si="169"/>
        <v>4.288902542780277E-2</v>
      </c>
      <c r="CM30" s="129">
        <f t="shared" si="19"/>
        <v>30.998927203189385</v>
      </c>
      <c r="CN30" s="16">
        <v>1002639263.2773901</v>
      </c>
      <c r="CO30" s="16">
        <f t="shared" si="20"/>
        <v>857355600.51798427</v>
      </c>
      <c r="CP30" s="130">
        <v>31.7</v>
      </c>
      <c r="CQ30" s="131">
        <f t="shared" si="192"/>
        <v>30.297854406378772</v>
      </c>
      <c r="CR30" s="5">
        <v>33</v>
      </c>
      <c r="CS30" s="132">
        <v>35.49</v>
      </c>
      <c r="CT30" s="5">
        <f t="shared" si="21"/>
        <v>33.671409092858958</v>
      </c>
      <c r="CU30" s="5">
        <v>32.590000000000003</v>
      </c>
      <c r="CV30" s="5">
        <v>36.61</v>
      </c>
      <c r="CW30" s="133"/>
      <c r="CX30" s="134">
        <v>35.369999999999997</v>
      </c>
      <c r="CY30" s="5">
        <f t="shared" si="193"/>
        <v>32.92650855770075</v>
      </c>
      <c r="CZ30" s="5">
        <f t="shared" si="170"/>
        <v>33.849873638721107</v>
      </c>
      <c r="DA30" s="5">
        <f t="shared" si="194"/>
        <v>33.727318156486135</v>
      </c>
      <c r="DB30" s="117">
        <f t="shared" si="171"/>
        <v>1760.1934292134974</v>
      </c>
      <c r="DC30" s="135">
        <f t="shared" si="171"/>
        <v>1753.8205441372791</v>
      </c>
      <c r="DD30" s="5">
        <f t="shared" si="22"/>
        <v>1750.9132728286659</v>
      </c>
      <c r="DE30" s="131">
        <f t="shared" si="23"/>
        <v>420808617.93335056</v>
      </c>
      <c r="DF30" s="5">
        <f t="shared" si="24"/>
        <v>326263461.0088098</v>
      </c>
      <c r="DG30" s="131">
        <f t="shared" si="25"/>
        <v>588340468.49110937</v>
      </c>
      <c r="DH30" s="5">
        <f t="shared" si="26"/>
        <v>129542627.5187968</v>
      </c>
      <c r="DI30" s="7">
        <f t="shared" si="195"/>
        <v>946510166.68591964</v>
      </c>
      <c r="DJ30" s="136">
        <f t="shared" si="172"/>
        <v>1352502968.0260663</v>
      </c>
      <c r="DK30" s="16">
        <f t="shared" si="27"/>
        <v>455806088.52760661</v>
      </c>
      <c r="DL30" s="7">
        <f t="shared" si="196"/>
        <v>49218528667.667824</v>
      </c>
      <c r="DM30" s="136">
        <f t="shared" si="196"/>
        <v>70330154337.355453</v>
      </c>
      <c r="DN30" s="16">
        <f t="shared" si="173"/>
        <v>23701916603.435543</v>
      </c>
      <c r="DO30" s="117">
        <f t="shared" si="197"/>
        <v>1760.1934292134977</v>
      </c>
      <c r="DP30" s="135">
        <f t="shared" si="198"/>
        <v>1753.8205441372793</v>
      </c>
      <c r="DQ30" s="5">
        <f t="shared" si="28"/>
        <v>1750.9132728286659</v>
      </c>
      <c r="DR30" s="117">
        <f t="shared" si="29"/>
        <v>32.785605448330728</v>
      </c>
      <c r="DS30" s="135">
        <f t="shared" si="199"/>
        <v>22.944059725863941</v>
      </c>
      <c r="DT30" s="5">
        <f t="shared" si="30"/>
        <v>68.081382980295189</v>
      </c>
      <c r="DU30" s="137">
        <f t="shared" si="31"/>
        <v>27.865928271728734</v>
      </c>
      <c r="DV30" s="138">
        <f t="shared" si="32"/>
        <v>48.596490471993057</v>
      </c>
      <c r="DW30" s="130">
        <f t="shared" si="33"/>
        <v>61.645551117262187</v>
      </c>
      <c r="DX30" s="137">
        <v>27.377249798717195</v>
      </c>
      <c r="DY30" s="138">
        <v>62.977942058564395</v>
      </c>
      <c r="DZ30" s="137">
        <f t="shared" si="34"/>
        <v>32.785605448330728</v>
      </c>
      <c r="EA30" s="138">
        <v>44.810672791714353</v>
      </c>
      <c r="EB30" s="130">
        <v>56.977319249787001</v>
      </c>
      <c r="EC30" s="139">
        <f t="shared" si="35"/>
        <v>0.58736601278316858</v>
      </c>
      <c r="ED30" s="140">
        <f t="shared" si="36"/>
        <v>3.8855791678305667</v>
      </c>
      <c r="EE30" s="139">
        <f t="shared" si="37"/>
        <v>0.58736601278316869</v>
      </c>
      <c r="EF30" s="141">
        <f t="shared" si="38"/>
        <v>3.4237382841517694</v>
      </c>
      <c r="EG30" s="142">
        <f t="shared" si="39"/>
        <v>2.4873263598120947</v>
      </c>
      <c r="EH30" s="117">
        <f t="shared" si="40"/>
        <v>21.324554870222574</v>
      </c>
      <c r="EI30" s="117">
        <f t="shared" si="41"/>
        <v>12.525318768498533</v>
      </c>
      <c r="EJ30" s="135">
        <f t="shared" si="42"/>
        <v>7.62416670925486</v>
      </c>
      <c r="EK30" s="135">
        <f t="shared" si="43"/>
        <v>26.103151447231276</v>
      </c>
      <c r="EL30" s="143">
        <f t="shared" si="44"/>
        <v>9.6553650615806585</v>
      </c>
      <c r="EM30" s="143">
        <f t="shared" si="45"/>
        <v>24.016044031278298</v>
      </c>
      <c r="EN30" s="144">
        <f t="shared" si="46"/>
        <v>23.624041146156525</v>
      </c>
      <c r="EO30" s="145">
        <f t="shared" si="47"/>
        <v>13.875958853843475</v>
      </c>
      <c r="EP30" s="146">
        <f t="shared" si="48"/>
        <v>9.6553650615806585</v>
      </c>
      <c r="EQ30" s="134">
        <f t="shared" si="49"/>
        <v>24.016044031278298</v>
      </c>
      <c r="ER30" s="130">
        <f t="shared" si="50"/>
        <v>7.6115282889786267</v>
      </c>
      <c r="ES30" s="130">
        <f t="shared" si="51"/>
        <v>26.059880803880333</v>
      </c>
      <c r="ET30" s="117">
        <f t="shared" si="200"/>
        <v>9.3298736387211072</v>
      </c>
      <c r="EU30" s="135">
        <f t="shared" si="201"/>
        <v>24.237318156486133</v>
      </c>
      <c r="EV30" s="5">
        <f t="shared" si="52"/>
        <v>22.061409092858959</v>
      </c>
      <c r="EW30" s="145">
        <f t="shared" si="53"/>
        <v>13.04</v>
      </c>
      <c r="EX30" s="134">
        <f t="shared" si="54"/>
        <v>22.005409092858958</v>
      </c>
      <c r="EY30" s="130">
        <f t="shared" si="55"/>
        <v>24.20140909285896</v>
      </c>
      <c r="EZ30" s="117">
        <f t="shared" si="202"/>
        <v>38.050055622843018</v>
      </c>
      <c r="FA30" s="135">
        <f t="shared" si="203"/>
        <v>255.39850533705092</v>
      </c>
      <c r="FB30" s="5">
        <f t="shared" si="174"/>
        <v>190.02075015382394</v>
      </c>
      <c r="FC30" s="145">
        <f t="shared" si="56"/>
        <v>53.311529026982832</v>
      </c>
      <c r="FD30" s="134">
        <f t="shared" si="57"/>
        <v>188.62857099999107</v>
      </c>
      <c r="FE30" s="130">
        <f t="shared" si="58"/>
        <v>255.55870214212203</v>
      </c>
      <c r="FF30" s="117">
        <f t="shared" si="59"/>
        <v>17.554822295124428</v>
      </c>
      <c r="FG30" s="135">
        <f t="shared" si="175"/>
        <v>20.729144223462217</v>
      </c>
      <c r="FH30" s="5">
        <f t="shared" si="60"/>
        <v>13.9351713771382</v>
      </c>
      <c r="FI30" s="145">
        <f t="shared" si="61"/>
        <v>17.554822295124424</v>
      </c>
      <c r="FJ30" s="134">
        <f t="shared" si="62"/>
        <v>13.9351713771382</v>
      </c>
      <c r="FK30" s="145">
        <f t="shared" si="63"/>
        <v>20.654093123013833</v>
      </c>
      <c r="FL30" s="134">
        <f t="shared" si="64"/>
        <v>13.9351713771382</v>
      </c>
      <c r="FM30" s="130">
        <v>12.992835889666969</v>
      </c>
      <c r="FN30" s="111">
        <v>100</v>
      </c>
      <c r="FO30" s="147">
        <f t="shared" si="65"/>
        <v>3.0501190578163162</v>
      </c>
      <c r="FP30" s="148">
        <f t="shared" si="66"/>
        <v>4.358426590359417</v>
      </c>
      <c r="FQ30" s="149">
        <f t="shared" si="67"/>
        <v>1.4688303266245786</v>
      </c>
      <c r="FR30" s="150">
        <f t="shared" si="68"/>
        <v>3.0501190578163161E-2</v>
      </c>
      <c r="FS30" s="151">
        <f t="shared" si="68"/>
        <v>4.3584265903594169E-2</v>
      </c>
      <c r="FT30" s="122">
        <f t="shared" si="68"/>
        <v>1.4688303266245786E-2</v>
      </c>
      <c r="FU30" s="152">
        <f t="shared" si="69"/>
        <v>1.1437946466811186</v>
      </c>
      <c r="FV30" s="140">
        <f t="shared" si="70"/>
        <v>0.69287738200486593</v>
      </c>
      <c r="FW30" s="153">
        <f t="shared" si="71"/>
        <v>0.54620988023627515</v>
      </c>
      <c r="FX30" s="152">
        <f t="shared" si="72"/>
        <v>1.6952817089077008</v>
      </c>
      <c r="FY30" s="140">
        <f t="shared" si="73"/>
        <v>0.49457586815773824</v>
      </c>
      <c r="FZ30" s="140">
        <f t="shared" si="176"/>
        <v>36.029623864253026</v>
      </c>
      <c r="GA30" s="153">
        <f t="shared" si="176"/>
        <v>28.402913772286308</v>
      </c>
      <c r="GB30" s="152">
        <f t="shared" si="74"/>
        <v>3.5886118353880427E-2</v>
      </c>
      <c r="GC30" s="154">
        <f t="shared" si="75"/>
        <v>1.4688303266245786E-2</v>
      </c>
      <c r="GD30" s="152">
        <f t="shared" si="76"/>
        <v>3.0501190578163161E-2</v>
      </c>
      <c r="GE30" s="154">
        <f t="shared" si="77"/>
        <v>2.0577617648671897E-2</v>
      </c>
      <c r="GF30" s="155">
        <f t="shared" si="78"/>
        <v>1.7398292244877264E-2</v>
      </c>
      <c r="GG30" s="152">
        <f t="shared" si="79"/>
        <v>388.31648604958042</v>
      </c>
      <c r="GH30" s="134">
        <f t="shared" si="80"/>
        <v>33.671409092858958</v>
      </c>
      <c r="GI30" s="130">
        <f t="shared" si="81"/>
        <v>33.671409092858958</v>
      </c>
      <c r="GJ30" s="152">
        <f t="shared" si="82"/>
        <v>0.98246322648051432</v>
      </c>
      <c r="GK30" s="154">
        <f t="shared" si="82"/>
        <v>0.92503911204024925</v>
      </c>
      <c r="GL30" s="152">
        <f t="shared" si="82"/>
        <v>1</v>
      </c>
      <c r="GM30" s="154">
        <f t="shared" si="82"/>
        <v>0.92209689128764283</v>
      </c>
      <c r="GN30" s="154">
        <f t="shared" si="82"/>
        <v>0.99130805163746516</v>
      </c>
      <c r="GO30" s="112">
        <f t="shared" si="177"/>
        <v>0.53544298038937777</v>
      </c>
      <c r="GP30" s="156">
        <f t="shared" si="177"/>
        <v>0.90346453378933045</v>
      </c>
      <c r="GQ30" s="115">
        <f t="shared" si="177"/>
        <v>0.20468402325451379</v>
      </c>
      <c r="GR30" s="117">
        <f t="shared" si="204"/>
        <v>360.28347279757793</v>
      </c>
      <c r="GS30" s="135">
        <f t="shared" si="178"/>
        <v>1584.5146602591369</v>
      </c>
      <c r="GT30" s="5">
        <f t="shared" si="178"/>
        <v>358.3839730522995</v>
      </c>
      <c r="GU30" s="130">
        <f t="shared" si="83"/>
        <v>395.79947102688857</v>
      </c>
      <c r="GV30" s="145">
        <f t="shared" si="84"/>
        <v>942.48321579987453</v>
      </c>
      <c r="GW30" s="134">
        <f t="shared" si="85"/>
        <v>387.42575139537013</v>
      </c>
      <c r="GX30" s="157">
        <f t="shared" si="179"/>
        <v>0.62997443056417401</v>
      </c>
      <c r="GY30" s="154">
        <f t="shared" si="86"/>
        <v>0.20468402325451382</v>
      </c>
      <c r="GZ30" s="157">
        <f t="shared" si="86"/>
        <v>0.62997443056417401</v>
      </c>
      <c r="HA30" s="154">
        <f t="shared" si="86"/>
        <v>0.28675262846746646</v>
      </c>
      <c r="HB30" s="155">
        <f t="shared" si="86"/>
        <v>0.22605315589815581</v>
      </c>
      <c r="HC30" s="157">
        <f t="shared" si="87"/>
        <v>0.64121934906503963</v>
      </c>
      <c r="HD30" s="154">
        <f t="shared" si="88"/>
        <v>0.22127066908886317</v>
      </c>
      <c r="HE30" s="144">
        <v>100</v>
      </c>
      <c r="HF30" s="146"/>
      <c r="HG30" s="158">
        <f t="shared" si="89"/>
        <v>139.39536557391648</v>
      </c>
      <c r="HH30" s="2">
        <f t="shared" si="90"/>
        <v>87.181336345963103</v>
      </c>
      <c r="HI30" s="2">
        <f t="shared" si="91"/>
        <v>91.827850208933526</v>
      </c>
      <c r="HJ30" s="2">
        <f t="shared" si="92"/>
        <v>98.425196850393689</v>
      </c>
      <c r="HK30" s="2">
        <f t="shared" si="93"/>
        <v>145.55268420418167</v>
      </c>
      <c r="HL30" s="2">
        <f t="shared" si="180"/>
        <v>98.126858343329275</v>
      </c>
      <c r="HM30" s="2">
        <f t="shared" si="94"/>
        <v>163.60505400861535</v>
      </c>
      <c r="HN30" s="2">
        <f t="shared" si="95"/>
        <v>105.33634848427549</v>
      </c>
      <c r="HO30" s="2">
        <f t="shared" si="181"/>
        <v>68.400833128453868</v>
      </c>
      <c r="HP30" s="2">
        <f t="shared" si="96"/>
        <v>95.678003005624902</v>
      </c>
      <c r="HQ30" s="2">
        <f t="shared" si="182"/>
        <v>83.614603229007429</v>
      </c>
      <c r="HR30" s="159">
        <f t="shared" si="97"/>
        <v>141.20614811337308</v>
      </c>
      <c r="HS30" s="12">
        <f t="shared" si="98"/>
        <v>112.66470316896917</v>
      </c>
      <c r="HT30" s="12">
        <f t="shared" si="99"/>
        <v>82.98563936170801</v>
      </c>
      <c r="HU30" s="12">
        <f t="shared" si="100"/>
        <v>89.766486517885795</v>
      </c>
      <c r="HV30" s="12">
        <f t="shared" si="101"/>
        <v>122.82301219469029</v>
      </c>
      <c r="HW30" s="12">
        <f t="shared" si="183"/>
        <v>89.616472528245978</v>
      </c>
      <c r="HX30" s="12">
        <f t="shared" si="102"/>
        <v>136.88773454949117</v>
      </c>
      <c r="HY30" s="12">
        <f t="shared" si="103"/>
        <v>114.98994299688572</v>
      </c>
      <c r="HZ30" s="12">
        <f t="shared" si="104"/>
        <v>76.231544895849893</v>
      </c>
      <c r="IA30" s="12">
        <f t="shared" si="105"/>
        <v>104.64735869368613</v>
      </c>
      <c r="IB30" s="12">
        <f t="shared" si="184"/>
        <v>92.503911204024931</v>
      </c>
      <c r="IC30" s="158">
        <f t="shared" si="106"/>
        <v>166.93281796502407</v>
      </c>
      <c r="ID30" s="2">
        <f t="shared" si="107"/>
        <v>96.578394775996586</v>
      </c>
      <c r="IE30" s="2">
        <f t="shared" si="108"/>
        <v>101.72990362055334</v>
      </c>
      <c r="IF30" s="2">
        <f t="shared" si="109"/>
        <v>98.425196850393689</v>
      </c>
      <c r="IG30" s="2">
        <f t="shared" si="110"/>
        <v>145.35932186697318</v>
      </c>
      <c r="IH30" s="2">
        <f t="shared" si="185"/>
        <v>98.126858343329275</v>
      </c>
      <c r="II30" s="2">
        <f t="shared" si="111"/>
        <v>163.79138083278221</v>
      </c>
      <c r="IJ30" s="2">
        <f t="shared" si="112"/>
        <v>105.3363484842755</v>
      </c>
      <c r="IK30" s="2">
        <f t="shared" si="113"/>
        <v>95.601173020527852</v>
      </c>
      <c r="IL30" s="2">
        <f t="shared" si="114"/>
        <v>59.900217160571799</v>
      </c>
      <c r="IM30" s="2">
        <f t="shared" si="186"/>
        <v>100</v>
      </c>
      <c r="IN30" s="159">
        <f t="shared" si="115"/>
        <v>136.82648180676139</v>
      </c>
      <c r="IO30" s="12">
        <f t="shared" si="116"/>
        <v>82.765001385056209</v>
      </c>
      <c r="IP30" s="12">
        <f t="shared" si="117"/>
        <v>92.941346870272056</v>
      </c>
      <c r="IQ30" s="12">
        <f t="shared" si="118"/>
        <v>89.766486517885795</v>
      </c>
      <c r="IR30" s="12">
        <f t="shared" si="119"/>
        <v>122.82301219469029</v>
      </c>
      <c r="IS30" s="12">
        <f t="shared" si="187"/>
        <v>92.203417513654813</v>
      </c>
      <c r="IT30" s="12">
        <f t="shared" si="120"/>
        <v>136.88773454949117</v>
      </c>
      <c r="IU30" s="12">
        <f t="shared" si="121"/>
        <v>112.28754660256666</v>
      </c>
      <c r="IV30" s="12">
        <f t="shared" si="122"/>
        <v>85.160251907348908</v>
      </c>
      <c r="IW30" s="12">
        <f t="shared" si="123"/>
        <v>67.467598848104586</v>
      </c>
      <c r="IX30" s="12">
        <f t="shared" si="188"/>
        <v>92.209689128764282</v>
      </c>
      <c r="IY30" s="160">
        <f t="shared" si="124"/>
        <v>141.24273487800446</v>
      </c>
      <c r="IZ30" s="25">
        <f t="shared" si="125"/>
        <v>80.375166726279048</v>
      </c>
      <c r="JA30" s="25">
        <f t="shared" si="126"/>
        <v>92.938233965336423</v>
      </c>
      <c r="JB30" s="25">
        <f t="shared" si="127"/>
        <v>89.766486517885795</v>
      </c>
      <c r="JC30" s="25">
        <f t="shared" si="128"/>
        <v>122.82301219469029</v>
      </c>
      <c r="JD30" s="25">
        <f t="shared" si="189"/>
        <v>89.526002335903286</v>
      </c>
      <c r="JE30" s="25">
        <f t="shared" si="129"/>
        <v>127.63100088081502</v>
      </c>
      <c r="JF30" s="25">
        <f t="shared" si="130"/>
        <v>115.65198670953627</v>
      </c>
      <c r="JG30" s="25">
        <f t="shared" si="131"/>
        <v>86.310303469539804</v>
      </c>
      <c r="JH30" s="25">
        <f t="shared" si="132"/>
        <v>70.154404213214775</v>
      </c>
      <c r="JI30" s="25">
        <f t="shared" si="190"/>
        <v>99.130805163746516</v>
      </c>
    </row>
    <row r="31" spans="1:269" x14ac:dyDescent="0.35">
      <c r="A31" s="109">
        <v>2016</v>
      </c>
      <c r="B31" s="110">
        <v>966139000000</v>
      </c>
      <c r="C31" s="111">
        <v>92.9</v>
      </c>
      <c r="D31" s="112">
        <f t="shared" si="133"/>
        <v>0.92900000000000005</v>
      </c>
      <c r="E31" s="111">
        <f t="shared" si="134"/>
        <v>10399773950.48439</v>
      </c>
      <c r="F31" s="113">
        <f t="shared" si="135"/>
        <v>1039977395048.4391</v>
      </c>
      <c r="G31" s="114">
        <v>74254000000</v>
      </c>
      <c r="H31" s="110">
        <v>17782000000</v>
      </c>
      <c r="I31" s="110">
        <v>358297000000</v>
      </c>
      <c r="J31" s="110">
        <v>130283000000</v>
      </c>
      <c r="K31" s="112">
        <v>95.5</v>
      </c>
      <c r="L31" s="112">
        <f t="shared" si="136"/>
        <v>0.95499999999999996</v>
      </c>
      <c r="M31" s="112">
        <f t="shared" si="137"/>
        <v>777528795.81151831</v>
      </c>
      <c r="N31" s="112">
        <f t="shared" si="138"/>
        <v>3751801047.120419</v>
      </c>
      <c r="O31" s="112">
        <f t="shared" si="139"/>
        <v>3751801047.120419</v>
      </c>
      <c r="P31" s="112">
        <f t="shared" si="140"/>
        <v>77752879581.15184</v>
      </c>
      <c r="Q31" s="112">
        <f t="shared" si="141"/>
        <v>18619895287.958115</v>
      </c>
      <c r="R31" s="112">
        <f t="shared" si="142"/>
        <v>375180104712.04187</v>
      </c>
      <c r="S31" s="115">
        <f t="shared" si="143"/>
        <v>471552879581.15186</v>
      </c>
      <c r="T31" s="112">
        <f t="shared" si="144"/>
        <v>1364219895.2879581</v>
      </c>
      <c r="U31" s="115">
        <f t="shared" si="145"/>
        <v>136421989528.79582</v>
      </c>
      <c r="V31" s="116">
        <f t="shared" si="146"/>
        <v>1647952264158.3867</v>
      </c>
      <c r="W31" s="117">
        <f t="shared" si="147"/>
        <v>1546755000000</v>
      </c>
      <c r="X31" s="112">
        <v>88.921925000000002</v>
      </c>
      <c r="Y31" s="112">
        <f t="shared" si="148"/>
        <v>0.88921925000000002</v>
      </c>
      <c r="Z31" s="112">
        <f t="shared" si="149"/>
        <v>1739452896459.4502</v>
      </c>
      <c r="AA31" s="115">
        <v>0.25091165655792336</v>
      </c>
      <c r="AB31" s="115">
        <v>0.34170321497123318</v>
      </c>
      <c r="AC31" s="115">
        <f t="shared" si="150"/>
        <v>0.59261487152915659</v>
      </c>
      <c r="AD31" s="118">
        <v>0.26464409190443267</v>
      </c>
      <c r="AE31" s="115">
        <f>AC31+AD31</f>
        <v>0.85725896343358921</v>
      </c>
      <c r="AF31" s="115">
        <f t="shared" si="152"/>
        <v>0.14274103656641079</v>
      </c>
      <c r="AG31" s="119">
        <v>0.248678350562825</v>
      </c>
      <c r="AH31" s="119">
        <v>0.33566399534281111</v>
      </c>
      <c r="AI31" s="119">
        <f t="shared" si="153"/>
        <v>0.58434234590563605</v>
      </c>
      <c r="AJ31" s="16">
        <v>2218000</v>
      </c>
      <c r="AK31" s="120">
        <v>26279000</v>
      </c>
      <c r="AL31" s="121">
        <f t="shared" si="154"/>
        <v>28497000</v>
      </c>
      <c r="AM31" s="122">
        <v>0.2018084</v>
      </c>
      <c r="AN31" s="123">
        <f t="shared" si="191"/>
        <v>5303322.9435999999</v>
      </c>
      <c r="AO31" s="124">
        <f t="shared" si="205"/>
        <v>0.7981916</v>
      </c>
      <c r="AP31" s="123">
        <f>AK31*AO31</f>
        <v>20975677.056400001</v>
      </c>
      <c r="AQ31" s="125">
        <v>0.47225149999999999</v>
      </c>
      <c r="AR31" s="123">
        <f t="shared" si="156"/>
        <v>9905794.9534004852</v>
      </c>
      <c r="AS31" s="123">
        <f t="shared" si="157"/>
        <v>11069882.102999516</v>
      </c>
      <c r="AT31" s="115">
        <f t="shared" si="0"/>
        <v>506.58468914474372</v>
      </c>
      <c r="AU31" s="126">
        <v>0.6856814</v>
      </c>
      <c r="AV31" s="123">
        <f t="shared" si="1"/>
        <v>3636389.900619769</v>
      </c>
      <c r="AW31" s="123">
        <f t="shared" si="158"/>
        <v>1666933.0429802309</v>
      </c>
      <c r="AX31" s="127">
        <f t="shared" si="159"/>
        <v>13542184.854020255</v>
      </c>
      <c r="AY31" s="127">
        <f t="shared" si="159"/>
        <v>12736815.145979747</v>
      </c>
      <c r="AZ31" s="16">
        <f>AN31*AU31*AT31*52</f>
        <v>95791251265.556671</v>
      </c>
      <c r="BA31" s="16">
        <f t="shared" si="3"/>
        <v>40630738263.239151</v>
      </c>
      <c r="BB31" s="16">
        <f t="shared" si="4"/>
        <v>260942450974.39774</v>
      </c>
      <c r="BC31" s="16">
        <f t="shared" si="5"/>
        <v>355363619385.4599</v>
      </c>
      <c r="BD31" s="17">
        <f>F31*AD31</f>
        <v>275223873313.73157</v>
      </c>
      <c r="BE31" s="16">
        <f>SUM(BB31:BD31)</f>
        <v>891529943673.58923</v>
      </c>
      <c r="BF31" s="117">
        <v>1039977395048.4391</v>
      </c>
      <c r="BG31" s="116">
        <f>BE31/BF31</f>
        <v>0.85725896343358921</v>
      </c>
      <c r="BH31" s="115">
        <v>0.85725896343358921</v>
      </c>
      <c r="BI31" s="17">
        <v>9457708.5551843569</v>
      </c>
      <c r="BJ31" s="7">
        <f t="shared" si="162"/>
        <v>891529943673.58923</v>
      </c>
      <c r="BK31" s="16">
        <f t="shared" si="163"/>
        <v>356733702239.95441</v>
      </c>
      <c r="BL31" s="112">
        <f t="shared" si="7"/>
        <v>36494.276416761029</v>
      </c>
      <c r="BM31" s="112">
        <f t="shared" si="8"/>
        <v>31285.045572291441</v>
      </c>
      <c r="BN31" s="115">
        <f t="shared" si="9"/>
        <v>26342.403835526675</v>
      </c>
      <c r="BO31" s="112">
        <f t="shared" si="164"/>
        <v>701.81300801463522</v>
      </c>
      <c r="BP31" s="112">
        <f t="shared" si="164"/>
        <v>601.63549177483537</v>
      </c>
      <c r="BQ31" s="115">
        <f t="shared" si="164"/>
        <v>506.58468914474372</v>
      </c>
      <c r="BR31" s="112">
        <f t="shared" si="10"/>
        <v>607974869109.94763</v>
      </c>
      <c r="BS31" s="115">
        <f t="shared" si="11"/>
        <v>1291218561918.4324</v>
      </c>
      <c r="BT31" s="112">
        <f t="shared" si="12"/>
        <v>607974869109.94763</v>
      </c>
      <c r="BU31" s="115">
        <f t="shared" si="13"/>
        <v>867547237229.85083</v>
      </c>
      <c r="BV31" s="118">
        <f t="shared" si="14"/>
        <v>1142771110543.5825</v>
      </c>
      <c r="BW31" s="112">
        <f t="shared" si="15"/>
        <v>57828.973722089577</v>
      </c>
      <c r="BX31" s="115">
        <f t="shared" si="16"/>
        <v>121690.27981250461</v>
      </c>
      <c r="BY31" s="128">
        <f t="shared" si="17"/>
        <v>1358925122466.47</v>
      </c>
      <c r="BZ31" s="119">
        <f t="shared" si="18"/>
        <v>1521059049293.8987</v>
      </c>
      <c r="CA31" s="113">
        <v>37.5</v>
      </c>
      <c r="CB31" s="113">
        <v>16.2</v>
      </c>
      <c r="CC31" s="113">
        <v>9.6</v>
      </c>
      <c r="CD31" s="113">
        <v>19743701.080646478</v>
      </c>
      <c r="CE31" s="113">
        <v>7021004.0796358949</v>
      </c>
      <c r="CF31" s="113">
        <v>1132713.6293021205</v>
      </c>
      <c r="CG31" s="113">
        <f t="shared" si="165"/>
        <v>27897418.789584495</v>
      </c>
      <c r="CH31" s="113">
        <v>28497000</v>
      </c>
      <c r="CI31" s="113">
        <f t="shared" si="166"/>
        <v>599581.21041550487</v>
      </c>
      <c r="CJ31" s="122">
        <f t="shared" si="167"/>
        <v>0.70772501318357783</v>
      </c>
      <c r="CK31" s="122">
        <f t="shared" si="168"/>
        <v>0.25167217557264432</v>
      </c>
      <c r="CL31" s="122">
        <f t="shared" si="169"/>
        <v>4.0602811243777841E-2</v>
      </c>
      <c r="CM31" s="129">
        <f t="shared" si="19"/>
        <v>31.00656422660127</v>
      </c>
      <c r="CN31" s="16">
        <v>1016731281.8526386</v>
      </c>
      <c r="CO31" s="16">
        <f t="shared" si="20"/>
        <v>865003107.45564473</v>
      </c>
      <c r="CP31" s="130">
        <v>31.53</v>
      </c>
      <c r="CQ31" s="131">
        <f t="shared" si="192"/>
        <v>30.483128453202539</v>
      </c>
      <c r="CR31" s="5">
        <v>32.92</v>
      </c>
      <c r="CS31" s="132">
        <v>34.369999999999997</v>
      </c>
      <c r="CT31" s="5">
        <f t="shared" si="21"/>
        <v>33.309358542416689</v>
      </c>
      <c r="CU31" s="5">
        <v>32.81</v>
      </c>
      <c r="CV31" s="5">
        <v>36.229999999999997</v>
      </c>
      <c r="CW31" s="133"/>
      <c r="CX31" s="134">
        <v>36.26</v>
      </c>
      <c r="CY31" s="5">
        <f t="shared" si="193"/>
        <v>33.001367862394595</v>
      </c>
      <c r="CZ31" s="5">
        <f t="shared" si="170"/>
        <v>33.503564465266628</v>
      </c>
      <c r="DA31" s="5">
        <f t="shared" si="194"/>
        <v>33.397404849221786</v>
      </c>
      <c r="DB31" s="117">
        <f t="shared" si="171"/>
        <v>1742.1853521938647</v>
      </c>
      <c r="DC31" s="135">
        <f t="shared" si="171"/>
        <v>1736.6650521595329</v>
      </c>
      <c r="DD31" s="5">
        <f t="shared" si="22"/>
        <v>1732.0866442056679</v>
      </c>
      <c r="DE31" s="131">
        <f t="shared" si="23"/>
        <v>413379038.00350511</v>
      </c>
      <c r="DF31" s="5">
        <f t="shared" si="24"/>
        <v>326098769.86594397</v>
      </c>
      <c r="DG31" s="131">
        <f t="shared" si="25"/>
        <v>600202048.08009422</v>
      </c>
      <c r="DH31" s="5">
        <f t="shared" si="26"/>
        <v>124982720.88430145</v>
      </c>
      <c r="DI31" s="7">
        <f t="shared" si="195"/>
        <v>954751076.56670308</v>
      </c>
      <c r="DJ31" s="136">
        <f t="shared" si="172"/>
        <v>1377102417.9082587</v>
      </c>
      <c r="DK31" s="16">
        <f t="shared" si="27"/>
        <v>451081490.75024545</v>
      </c>
      <c r="DL31" s="7">
        <f t="shared" si="196"/>
        <v>49647055981.468559</v>
      </c>
      <c r="DM31" s="136">
        <f t="shared" si="196"/>
        <v>71609325731.229446</v>
      </c>
      <c r="DN31" s="16">
        <f t="shared" si="173"/>
        <v>23456237519.012764</v>
      </c>
      <c r="DO31" s="117">
        <f t="shared" si="197"/>
        <v>1742.1853521938647</v>
      </c>
      <c r="DP31" s="135">
        <f t="shared" si="198"/>
        <v>1736.6650521595327</v>
      </c>
      <c r="DQ31" s="5">
        <f t="shared" si="28"/>
        <v>1732.0866442056679</v>
      </c>
      <c r="DR31" s="117">
        <f t="shared" si="29"/>
        <v>33.193353192453294</v>
      </c>
      <c r="DS31" s="135">
        <f t="shared" si="199"/>
        <v>23.013095673371218</v>
      </c>
      <c r="DT31" s="5">
        <f t="shared" si="30"/>
        <v>70.256462180800185</v>
      </c>
      <c r="DU31" s="137">
        <f t="shared" si="31"/>
        <v>28.455299550647531</v>
      </c>
      <c r="DV31" s="138">
        <f t="shared" si="32"/>
        <v>52.194259137998934</v>
      </c>
      <c r="DW31" s="130">
        <f t="shared" si="33"/>
        <v>63.927763843970858</v>
      </c>
      <c r="DX31" s="137">
        <v>27.371716118951891</v>
      </c>
      <c r="DY31" s="138">
        <v>64.846676627527501</v>
      </c>
      <c r="DZ31" s="137">
        <f t="shared" si="34"/>
        <v>33.193353192453294</v>
      </c>
      <c r="EA31" s="138">
        <v>48.109261120428876</v>
      </c>
      <c r="EB31" s="130">
        <v>58.982162014797936</v>
      </c>
      <c r="EC31" s="139">
        <f t="shared" si="35"/>
        <v>0.58460392697442232</v>
      </c>
      <c r="ED31" s="140">
        <f t="shared" si="36"/>
        <v>3.6195586618555691</v>
      </c>
      <c r="EE31" s="139">
        <f t="shared" si="37"/>
        <v>0.58460392697442232</v>
      </c>
      <c r="EF31" s="141">
        <f>(S31+BC31+BA31+BD31)/(AZ31+BB31)</f>
        <v>3.2034290659055968</v>
      </c>
      <c r="EG31" s="142">
        <f>(S31+BC31+BA31)/(AZ31+BB31)</f>
        <v>2.4319183519316083</v>
      </c>
      <c r="EH31" s="117">
        <f t="shared" si="40"/>
        <v>21.143178995673043</v>
      </c>
      <c r="EI31" s="117">
        <f t="shared" si="41"/>
        <v>12.360385469593584</v>
      </c>
      <c r="EJ31" s="135">
        <f>DA31/(EF31+1)</f>
        <v>7.9452761841781108</v>
      </c>
      <c r="EK31" s="135">
        <f t="shared" si="43"/>
        <v>25.452128665043674</v>
      </c>
      <c r="EL31" s="143">
        <f t="shared" si="44"/>
        <v>9.7057549529606302</v>
      </c>
      <c r="EM31" s="143">
        <f t="shared" si="45"/>
        <v>23.603603589456057</v>
      </c>
      <c r="EN31" s="144">
        <f t="shared" si="46"/>
        <v>23.66521965624619</v>
      </c>
      <c r="EO31" s="145">
        <f t="shared" si="47"/>
        <v>13.83478034375381</v>
      </c>
      <c r="EP31" s="146">
        <f t="shared" si="48"/>
        <v>9.7057549529606302</v>
      </c>
      <c r="EQ31" s="134">
        <f t="shared" si="49"/>
        <v>23.603603589456057</v>
      </c>
      <c r="ER31" s="130">
        <f t="shared" si="50"/>
        <v>7.9243298792864101</v>
      </c>
      <c r="ES31" s="130">
        <f t="shared" si="51"/>
        <v>25.385028663130278</v>
      </c>
      <c r="ET31" s="117">
        <f t="shared" si="200"/>
        <v>8.9835644652666282</v>
      </c>
      <c r="EU31" s="135">
        <f t="shared" si="201"/>
        <v>23.907404849221784</v>
      </c>
      <c r="EV31" s="5">
        <f t="shared" si="52"/>
        <v>21.699358542416689</v>
      </c>
      <c r="EW31" s="145">
        <f t="shared" si="53"/>
        <v>13.04</v>
      </c>
      <c r="EX31" s="134">
        <f t="shared" si="54"/>
        <v>21.643358542416689</v>
      </c>
      <c r="EY31" s="130">
        <f t="shared" si="55"/>
        <v>23.83935854241669</v>
      </c>
      <c r="EZ31" s="117">
        <f t="shared" si="202"/>
        <v>36.637701734366345</v>
      </c>
      <c r="FA31" s="135">
        <f t="shared" si="203"/>
        <v>251.92207428052461</v>
      </c>
      <c r="FB31" s="5">
        <f>(EV31/11.61)*100</f>
        <v>186.90231302684487</v>
      </c>
      <c r="FC31" s="145">
        <f t="shared" si="56"/>
        <v>53.311529026982832</v>
      </c>
      <c r="FD31" s="134">
        <f t="shared" si="57"/>
        <v>185.52510322661314</v>
      </c>
      <c r="FE31" s="130">
        <f>(EY31/9.47)*100</f>
        <v>251.73557066965881</v>
      </c>
      <c r="FF31" s="117">
        <f t="shared" si="59"/>
        <v>17.957357713342862</v>
      </c>
      <c r="FG31" s="135">
        <f t="shared" si="175"/>
        <v>21.013998278701244</v>
      </c>
      <c r="FH31" s="5">
        <f t="shared" si="60"/>
        <v>15.208479277667578</v>
      </c>
      <c r="FI31" s="145">
        <f t="shared" si="61"/>
        <v>17.957357713342862</v>
      </c>
      <c r="FJ31" s="134">
        <f t="shared" si="62"/>
        <v>15.208479277667578</v>
      </c>
      <c r="FK31" s="145">
        <f t="shared" si="63"/>
        <v>20.94741318471381</v>
      </c>
      <c r="FL31" s="134">
        <f t="shared" si="64"/>
        <v>15.208479277667578</v>
      </c>
      <c r="FM31" s="130">
        <v>14.093000521488051</v>
      </c>
      <c r="FN31" s="111">
        <v>100.7</v>
      </c>
      <c r="FO31" s="147">
        <f t="shared" si="65"/>
        <v>3.0337399001585275</v>
      </c>
      <c r="FP31" s="148">
        <f t="shared" si="66"/>
        <v>4.3757694066566373</v>
      </c>
      <c r="FQ31" s="149">
        <f t="shared" si="67"/>
        <v>1.4333201085596292</v>
      </c>
      <c r="FR31" s="150">
        <f t="shared" si="68"/>
        <v>3.0126513407731158E-2</v>
      </c>
      <c r="FS31" s="151">
        <f t="shared" si="68"/>
        <v>4.3453519430552506E-2</v>
      </c>
      <c r="FT31" s="122">
        <f t="shared" si="68"/>
        <v>1.4233566122737131E-2</v>
      </c>
      <c r="FU31" s="152">
        <f t="shared" si="69"/>
        <v>1.1297442527899184</v>
      </c>
      <c r="FV31" s="140">
        <f t="shared" si="70"/>
        <v>0.63818050284703653</v>
      </c>
      <c r="FW31" s="153">
        <f t="shared" si="71"/>
        <v>0.52104682753670495</v>
      </c>
      <c r="FX31" s="152">
        <f t="shared" si="72"/>
        <v>1.5560543052451437</v>
      </c>
      <c r="FY31" s="140">
        <f t="shared" si="73"/>
        <v>0.47411095731944686</v>
      </c>
      <c r="FZ31" s="140">
        <f t="shared" si="176"/>
        <v>33.1853861480459</v>
      </c>
      <c r="GA31" s="153">
        <f t="shared" si="176"/>
        <v>27.094435031908656</v>
      </c>
      <c r="GB31" s="152">
        <f t="shared" si="74"/>
        <v>3.5142838620275348E-2</v>
      </c>
      <c r="GC31" s="154">
        <f t="shared" si="75"/>
        <v>1.4233566122737131E-2</v>
      </c>
      <c r="GD31" s="152">
        <f t="shared" si="76"/>
        <v>3.0126513407731158E-2</v>
      </c>
      <c r="GE31" s="154">
        <f t="shared" si="77"/>
        <v>1.9159195216394424E-2</v>
      </c>
      <c r="GF31" s="155">
        <f t="shared" si="78"/>
        <v>1.6880791625715305E-2</v>
      </c>
      <c r="GG31" s="152">
        <f t="shared" si="79"/>
        <v>432.76183355584652</v>
      </c>
      <c r="GH31" s="134">
        <f t="shared" si="80"/>
        <v>33.309358542416689</v>
      </c>
      <c r="GI31" s="130">
        <f t="shared" si="81"/>
        <v>33.309358542416689</v>
      </c>
      <c r="GJ31" s="152">
        <f t="shared" si="82"/>
        <v>0.96191980232831575</v>
      </c>
      <c r="GK31" s="154">
        <f t="shared" si="82"/>
        <v>0.92299945961766516</v>
      </c>
      <c r="GL31" s="152">
        <f t="shared" si="82"/>
        <v>1</v>
      </c>
      <c r="GM31" s="154">
        <f t="shared" si="82"/>
        <v>0.92173472552279112</v>
      </c>
      <c r="GN31" s="154">
        <f t="shared" si="82"/>
        <v>0.99566558660598437</v>
      </c>
      <c r="GO31" s="112">
        <f t="shared" si="177"/>
        <v>0.54099257791844824</v>
      </c>
      <c r="GP31" s="156">
        <f t="shared" si="177"/>
        <v>0.91313218251714134</v>
      </c>
      <c r="GQ31" s="115">
        <f t="shared" si="177"/>
        <v>0.21647089542495893</v>
      </c>
      <c r="GR31" s="117">
        <f t="shared" si="204"/>
        <v>377.13242318565329</v>
      </c>
      <c r="GS31" s="135">
        <f t="shared" si="178"/>
        <v>1585.8047493796792</v>
      </c>
      <c r="GT31" s="5">
        <f t="shared" si="178"/>
        <v>374.94634682481319</v>
      </c>
      <c r="GU31" s="130">
        <f t="shared" si="83"/>
        <v>412.06515372289334</v>
      </c>
      <c r="GV31" s="145">
        <f t="shared" si="84"/>
        <v>942.50934489511837</v>
      </c>
      <c r="GW31" s="134">
        <f t="shared" si="85"/>
        <v>406.22596570113649</v>
      </c>
      <c r="GX31" s="157">
        <f>FF31*GB31</f>
        <v>0.6310725241665649</v>
      </c>
      <c r="GY31" s="154">
        <f t="shared" si="86"/>
        <v>0.21647089542495893</v>
      </c>
      <c r="GZ31" s="157">
        <f t="shared" si="86"/>
        <v>0.63107252416656501</v>
      </c>
      <c r="HA31" s="154">
        <f t="shared" si="86"/>
        <v>0.29138222342532238</v>
      </c>
      <c r="HB31" s="155">
        <f t="shared" si="86"/>
        <v>0.23790100518433691</v>
      </c>
      <c r="HC31" s="157">
        <f t="shared" si="87"/>
        <v>0.65605523728595794</v>
      </c>
      <c r="HD31" s="154">
        <f t="shared" si="88"/>
        <v>0.23452981815897037</v>
      </c>
      <c r="HE31" s="144">
        <v>100.7</v>
      </c>
      <c r="HF31" s="146"/>
      <c r="HG31" s="158">
        <f t="shared" si="89"/>
        <v>139.36719001502999</v>
      </c>
      <c r="HH31" s="2">
        <f t="shared" si="90"/>
        <v>86.439816008475233</v>
      </c>
      <c r="HI31" s="2">
        <f>100*(EI31/13.64)</f>
        <v>90.618661800539471</v>
      </c>
      <c r="HJ31" s="2">
        <f t="shared" si="92"/>
        <v>98.425196850393689</v>
      </c>
      <c r="HK31" s="2">
        <f t="shared" si="93"/>
        <v>146.10949840573952</v>
      </c>
      <c r="HL31" s="2">
        <f t="shared" si="180"/>
        <v>98.297900960524117</v>
      </c>
      <c r="HM31" s="2">
        <f t="shared" si="94"/>
        <v>167.35654905258957</v>
      </c>
      <c r="HN31" s="2">
        <f t="shared" si="95"/>
        <v>104.84100481957324</v>
      </c>
      <c r="HO31" s="2">
        <f t="shared" si="181"/>
        <v>65.861909569403437</v>
      </c>
      <c r="HP31" s="2">
        <f t="shared" si="96"/>
        <v>95.164211554895942</v>
      </c>
      <c r="HQ31" s="2">
        <f t="shared" si="182"/>
        <v>81.866211825489216</v>
      </c>
      <c r="HR31" s="159">
        <f t="shared" si="97"/>
        <v>145.39613593616031</v>
      </c>
      <c r="HS31" s="12">
        <f t="shared" si="98"/>
        <v>113.25268323174598</v>
      </c>
      <c r="HT31" s="12">
        <f>100*(EM31/28.94)</f>
        <v>81.560482340898602</v>
      </c>
      <c r="HU31" s="12">
        <f t="shared" si="100"/>
        <v>88.801275772905058</v>
      </c>
      <c r="HV31" s="12">
        <f t="shared" si="101"/>
        <v>132.60448048240002</v>
      </c>
      <c r="HW31" s="12">
        <f t="shared" si="183"/>
        <v>94.777099573099349</v>
      </c>
      <c r="HX31" s="12">
        <f t="shared" si="102"/>
        <v>149.39567070400372</v>
      </c>
      <c r="HY31" s="12">
        <f t="shared" si="103"/>
        <v>107.11732439955399</v>
      </c>
      <c r="HZ31" s="12">
        <f t="shared" si="104"/>
        <v>74.980506366332719</v>
      </c>
      <c r="IA31" s="12">
        <f t="shared" si="105"/>
        <v>102.11742010256692</v>
      </c>
      <c r="IB31" s="12">
        <f t="shared" si="184"/>
        <v>92.299945961766511</v>
      </c>
      <c r="IC31" s="158">
        <f t="shared" si="106"/>
        <v>169.00892664181922</v>
      </c>
      <c r="ID31" s="2">
        <f t="shared" si="107"/>
        <v>96.746738302792977</v>
      </c>
      <c r="IE31" s="2">
        <f t="shared" si="108"/>
        <v>101.42800838529185</v>
      </c>
      <c r="IF31" s="2">
        <f t="shared" si="109"/>
        <v>98.425196850393689</v>
      </c>
      <c r="IG31" s="2">
        <f t="shared" si="110"/>
        <v>147.17120548067612</v>
      </c>
      <c r="IH31" s="2">
        <f t="shared" si="185"/>
        <v>98.297900960524146</v>
      </c>
      <c r="II31" s="2">
        <f t="shared" si="111"/>
        <v>166.11747172651715</v>
      </c>
      <c r="IJ31" s="2">
        <f t="shared" si="112"/>
        <v>104.84100481957324</v>
      </c>
      <c r="IK31" s="2">
        <f t="shared" si="113"/>
        <v>95.601173020527852</v>
      </c>
      <c r="IL31" s="2">
        <f t="shared" si="114"/>
        <v>59.164401821938654</v>
      </c>
      <c r="IM31" s="2">
        <f t="shared" si="186"/>
        <v>100</v>
      </c>
      <c r="IN31" s="159">
        <f t="shared" si="115"/>
        <v>146.89850723795078</v>
      </c>
      <c r="IO31" s="12">
        <f t="shared" si="116"/>
        <v>83.196939421915232</v>
      </c>
      <c r="IP31" s="12">
        <f t="shared" si="117"/>
        <v>91.3452151294739</v>
      </c>
      <c r="IQ31" s="12">
        <f t="shared" si="118"/>
        <v>88.801275772905058</v>
      </c>
      <c r="IR31" s="12">
        <f t="shared" si="119"/>
        <v>132.60448048240002</v>
      </c>
      <c r="IS31" s="12">
        <f t="shared" si="187"/>
        <v>93.692033255730664</v>
      </c>
      <c r="IT31" s="12">
        <f t="shared" si="120"/>
        <v>149.39567070400372</v>
      </c>
      <c r="IU31" s="12">
        <f t="shared" si="121"/>
        <v>109.78621450254198</v>
      </c>
      <c r="IV31" s="12">
        <f t="shared" si="122"/>
        <v>83.759127486132698</v>
      </c>
      <c r="IW31" s="12">
        <f t="shared" si="123"/>
        <v>62.81703349637516</v>
      </c>
      <c r="IX31" s="12">
        <f t="shared" si="188"/>
        <v>92.173472552279108</v>
      </c>
      <c r="IY31" s="160">
        <f t="shared" si="124"/>
        <v>146.21259795438257</v>
      </c>
      <c r="IZ31" s="25">
        <f t="shared" si="125"/>
        <v>83.678245821398207</v>
      </c>
      <c r="JA31" s="25">
        <f t="shared" si="126"/>
        <v>90.531485959808407</v>
      </c>
      <c r="JB31" s="25">
        <f t="shared" si="127"/>
        <v>88.801275772905058</v>
      </c>
      <c r="JC31" s="25">
        <f t="shared" si="128"/>
        <v>132.60448048240002</v>
      </c>
      <c r="JD31" s="25">
        <f t="shared" si="189"/>
        <v>94.218219874984911</v>
      </c>
      <c r="JE31" s="25">
        <f t="shared" si="129"/>
        <v>138.43811907159187</v>
      </c>
      <c r="JF31" s="25">
        <f t="shared" si="130"/>
        <v>108.21006309681856</v>
      </c>
      <c r="JG31" s="25">
        <f t="shared" si="131"/>
        <v>85.019110350986765</v>
      </c>
      <c r="JH31" s="25">
        <f t="shared" si="132"/>
        <v>68.067708168206877</v>
      </c>
      <c r="JI31" s="25">
        <f t="shared" si="190"/>
        <v>99.566558660598432</v>
      </c>
    </row>
    <row r="32" spans="1:269" x14ac:dyDescent="0.35">
      <c r="A32" s="109">
        <v>2017</v>
      </c>
      <c r="B32" s="110">
        <v>1006539000000</v>
      </c>
      <c r="C32" s="111">
        <v>94.8</v>
      </c>
      <c r="D32" s="112">
        <f t="shared" si="133"/>
        <v>0.94799999999999995</v>
      </c>
      <c r="E32" s="111">
        <f t="shared" si="134"/>
        <v>10617500000</v>
      </c>
      <c r="F32" s="113">
        <f t="shared" si="135"/>
        <v>1061750000000</v>
      </c>
      <c r="G32" s="114">
        <v>81151000000</v>
      </c>
      <c r="H32" s="110">
        <v>16754000000</v>
      </c>
      <c r="I32" s="110">
        <v>369498000000</v>
      </c>
      <c r="J32" s="110">
        <v>141361000000</v>
      </c>
      <c r="K32" s="112">
        <v>97.1</v>
      </c>
      <c r="L32" s="112">
        <f t="shared" si="136"/>
        <v>0.97099999999999997</v>
      </c>
      <c r="M32" s="112">
        <f t="shared" si="137"/>
        <v>835746652.93511844</v>
      </c>
      <c r="N32" s="112">
        <f t="shared" si="138"/>
        <v>3805334706.4881568</v>
      </c>
      <c r="O32" s="112">
        <f t="shared" si="139"/>
        <v>3805334706.4881568</v>
      </c>
      <c r="P32" s="112">
        <f t="shared" si="140"/>
        <v>83574665293.511841</v>
      </c>
      <c r="Q32" s="112">
        <f t="shared" si="141"/>
        <v>17254376930.99897</v>
      </c>
      <c r="R32" s="112">
        <f t="shared" si="142"/>
        <v>380533470648.81567</v>
      </c>
      <c r="S32" s="115">
        <f t="shared" si="143"/>
        <v>481362512873.32648</v>
      </c>
      <c r="T32" s="112">
        <f t="shared" si="144"/>
        <v>1455829042.2245109</v>
      </c>
      <c r="U32" s="115">
        <f t="shared" si="145"/>
        <v>145582904222.45108</v>
      </c>
      <c r="V32" s="116">
        <f t="shared" si="146"/>
        <v>1688695417095.7776</v>
      </c>
      <c r="W32" s="117">
        <f t="shared" si="147"/>
        <v>1615303000000</v>
      </c>
      <c r="X32" s="112">
        <v>90.541124999999994</v>
      </c>
      <c r="Y32" s="112">
        <f t="shared" si="148"/>
        <v>0.90541124999999989</v>
      </c>
      <c r="Z32" s="112">
        <f t="shared" si="149"/>
        <v>1784054483528.8938</v>
      </c>
      <c r="AA32" s="115">
        <v>0.25606935299859374</v>
      </c>
      <c r="AB32" s="115">
        <v>0.34478546227266532</v>
      </c>
      <c r="AC32" s="115">
        <f t="shared" si="150"/>
        <v>0.60085481527125906</v>
      </c>
      <c r="AD32" s="118">
        <v>0.26818781529437646</v>
      </c>
      <c r="AE32" s="115">
        <f t="shared" si="151"/>
        <v>0.86904263056563558</v>
      </c>
      <c r="AF32" s="115">
        <f t="shared" si="152"/>
        <v>0.13095736943436453</v>
      </c>
      <c r="AG32" s="119">
        <v>0.25980077199536533</v>
      </c>
      <c r="AH32" s="119">
        <v>0.34478055543288116</v>
      </c>
      <c r="AI32" s="119">
        <f t="shared" si="153"/>
        <v>0.60458132742824655</v>
      </c>
      <c r="AJ32" s="16">
        <v>2127000</v>
      </c>
      <c r="AK32" s="120">
        <v>26640000</v>
      </c>
      <c r="AL32" s="121">
        <f t="shared" si="154"/>
        <v>28767000</v>
      </c>
      <c r="AM32" s="122">
        <v>0.17949219999999999</v>
      </c>
      <c r="AN32" s="123">
        <f t="shared" si="191"/>
        <v>4781672.2079999996</v>
      </c>
      <c r="AO32" s="124">
        <f t="shared" si="205"/>
        <v>0.82050780000000001</v>
      </c>
      <c r="AP32" s="123">
        <f t="shared" si="155"/>
        <v>21858327.791999999</v>
      </c>
      <c r="AQ32" s="125">
        <v>0.51347233360064104</v>
      </c>
      <c r="AR32" s="123">
        <f t="shared" si="156"/>
        <v>11223646.579965986</v>
      </c>
      <c r="AS32" s="123">
        <f t="shared" si="157"/>
        <v>10634681.212034013</v>
      </c>
      <c r="AT32" s="115">
        <f t="shared" si="0"/>
        <v>465.8461894734765</v>
      </c>
      <c r="AU32" s="126">
        <v>0.69821420000000001</v>
      </c>
      <c r="AV32" s="123">
        <f t="shared" si="1"/>
        <v>3338631.4353709533</v>
      </c>
      <c r="AW32" s="123">
        <f t="shared" si="158"/>
        <v>1443040.7726290463</v>
      </c>
      <c r="AX32" s="127">
        <f t="shared" si="159"/>
        <v>14562278.01533694</v>
      </c>
      <c r="AY32" s="127">
        <f t="shared" si="159"/>
        <v>12077721.98466306</v>
      </c>
      <c r="AZ32" s="16">
        <f t="shared" si="2"/>
        <v>80875014075.643951</v>
      </c>
      <c r="BA32" s="16">
        <f t="shared" si="3"/>
        <v>64707890146.807129</v>
      </c>
      <c r="BB32" s="16">
        <f t="shared" si="4"/>
        <v>271881635546.2569</v>
      </c>
      <c r="BC32" s="16">
        <f t="shared" si="5"/>
        <v>366075964568.00238</v>
      </c>
      <c r="BD32" s="17">
        <f t="shared" si="6"/>
        <v>284748412888.8042</v>
      </c>
      <c r="BE32" s="16">
        <f t="shared" si="160"/>
        <v>922706013003.06348</v>
      </c>
      <c r="BF32" s="117">
        <v>1061750000000</v>
      </c>
      <c r="BG32" s="116">
        <f t="shared" si="161"/>
        <v>0.86904263056563547</v>
      </c>
      <c r="BH32" s="115">
        <v>0.86904263056563558</v>
      </c>
      <c r="BI32" s="17">
        <v>8877379.0655804984</v>
      </c>
      <c r="BJ32" s="7">
        <f t="shared" si="162"/>
        <v>922706013003.0636</v>
      </c>
      <c r="BK32" s="16">
        <f t="shared" si="163"/>
        <v>352756649621.90088</v>
      </c>
      <c r="BL32" s="112">
        <f t="shared" si="7"/>
        <v>36908.610560711924</v>
      </c>
      <c r="BM32" s="112">
        <f t="shared" si="8"/>
        <v>32075.15601220369</v>
      </c>
      <c r="BN32" s="115">
        <f t="shared" si="9"/>
        <v>24224.001852620779</v>
      </c>
      <c r="BO32" s="112">
        <f t="shared" si="164"/>
        <v>709.78097232138316</v>
      </c>
      <c r="BP32" s="112">
        <f t="shared" si="164"/>
        <v>616.82992331160938</v>
      </c>
      <c r="BQ32" s="115">
        <f t="shared" si="164"/>
        <v>465.8461894734765</v>
      </c>
      <c r="BR32" s="112">
        <f t="shared" si="10"/>
        <v>626945417095.77759</v>
      </c>
      <c r="BS32" s="115">
        <f t="shared" si="11"/>
        <v>1335938767473.8767</v>
      </c>
      <c r="BT32" s="112">
        <f t="shared" si="12"/>
        <v>626945417095.77759</v>
      </c>
      <c r="BU32" s="115">
        <f t="shared" si="13"/>
        <v>912146367588.13599</v>
      </c>
      <c r="BV32" s="118">
        <f t="shared" si="14"/>
        <v>1196894780476.9402</v>
      </c>
      <c r="BW32" s="112">
        <f t="shared" si="15"/>
        <v>58702.520843180646</v>
      </c>
      <c r="BX32" s="115">
        <f t="shared" si="16"/>
        <v>115963.68475572637</v>
      </c>
      <c r="BY32" s="128">
        <f t="shared" si="17"/>
        <v>1383459335746.687</v>
      </c>
      <c r="BZ32" s="119">
        <f t="shared" si="18"/>
        <v>1545292819645.6101</v>
      </c>
      <c r="CA32" s="113">
        <v>37.4</v>
      </c>
      <c r="CB32" s="113">
        <v>16.2</v>
      </c>
      <c r="CC32" s="113">
        <v>9.6</v>
      </c>
      <c r="CD32" s="113">
        <v>20045306.407964516</v>
      </c>
      <c r="CE32" s="113">
        <v>6990755.6786228875</v>
      </c>
      <c r="CF32" s="113">
        <v>1122628.4629925399</v>
      </c>
      <c r="CG32" s="113">
        <f t="shared" si="165"/>
        <v>28158690.549579944</v>
      </c>
      <c r="CH32" s="113">
        <v>28767000</v>
      </c>
      <c r="CI32" s="113">
        <f t="shared" si="166"/>
        <v>608309.45042005554</v>
      </c>
      <c r="CJ32" s="122">
        <f t="shared" si="167"/>
        <v>0.71186926723989807</v>
      </c>
      <c r="CK32" s="122">
        <f t="shared" si="168"/>
        <v>0.24826281130914207</v>
      </c>
      <c r="CL32" s="122">
        <f t="shared" si="169"/>
        <v>3.9867921450959895E-2</v>
      </c>
      <c r="CM32" s="129">
        <f t="shared" si="19"/>
        <v>31.0285001839095</v>
      </c>
      <c r="CN32" s="16">
        <v>1029005475.7956144</v>
      </c>
      <c r="CO32" s="16">
        <f t="shared" si="20"/>
        <v>873721934.89629197</v>
      </c>
      <c r="CP32" s="130">
        <v>31.69</v>
      </c>
      <c r="CQ32" s="131">
        <f t="shared" si="192"/>
        <v>30.367000367818999</v>
      </c>
      <c r="CR32" s="5">
        <v>33.020000000000003</v>
      </c>
      <c r="CS32" s="132">
        <v>34.25</v>
      </c>
      <c r="CT32" s="5">
        <f t="shared" si="21"/>
        <v>33.301996859363712</v>
      </c>
      <c r="CU32" s="5">
        <v>32.979999999999997</v>
      </c>
      <c r="CV32" s="5">
        <v>35.43</v>
      </c>
      <c r="CW32" s="133"/>
      <c r="CX32" s="134">
        <v>35.270000000000003</v>
      </c>
      <c r="CY32" s="5">
        <f t="shared" si="193"/>
        <v>33.035729347874309</v>
      </c>
      <c r="CZ32" s="5">
        <f t="shared" si="170"/>
        <v>33.48252563778891</v>
      </c>
      <c r="DA32" s="5">
        <f t="shared" si="194"/>
        <v>33.389179377946363</v>
      </c>
      <c r="DB32" s="117">
        <f t="shared" si="171"/>
        <v>1741.0913331650233</v>
      </c>
      <c r="DC32" s="135">
        <f t="shared" si="171"/>
        <v>1736.2373276532107</v>
      </c>
      <c r="DD32" s="5">
        <f t="shared" si="22"/>
        <v>1731.7038366869131</v>
      </c>
      <c r="DE32" s="131">
        <f t="shared" si="23"/>
        <v>455534783.65060705</v>
      </c>
      <c r="DF32" s="5">
        <f t="shared" si="24"/>
        <v>370604810.07047689</v>
      </c>
      <c r="DG32" s="131">
        <f t="shared" si="25"/>
        <v>619431337.82580221</v>
      </c>
      <c r="DH32" s="5">
        <f t="shared" si="26"/>
        <v>114348126.66145515</v>
      </c>
      <c r="DI32" s="7">
        <f t="shared" si="195"/>
        <v>963191815.02227354</v>
      </c>
      <c r="DJ32" s="136">
        <f t="shared" si="172"/>
        <v>1363771748.9882643</v>
      </c>
      <c r="DK32" s="16">
        <f t="shared" si="27"/>
        <v>484952936.73193204</v>
      </c>
      <c r="DL32" s="7">
        <f t="shared" si="196"/>
        <v>50085974381.158226</v>
      </c>
      <c r="DM32" s="136">
        <f t="shared" si="196"/>
        <v>70916130947.38974</v>
      </c>
      <c r="DN32" s="16">
        <f t="shared" si="173"/>
        <v>25217552710.060467</v>
      </c>
      <c r="DO32" s="117">
        <f t="shared" si="197"/>
        <v>1741.0913331650233</v>
      </c>
      <c r="DP32" s="135">
        <f t="shared" si="198"/>
        <v>1736.2373276532107</v>
      </c>
      <c r="DQ32" s="5">
        <f t="shared" si="28"/>
        <v>1731.7038366869133</v>
      </c>
      <c r="DR32" s="117">
        <f t="shared" si="29"/>
        <v>33.715934210337444</v>
      </c>
      <c r="DS32" s="135">
        <f t="shared" si="199"/>
        <v>23.812571195523386</v>
      </c>
      <c r="DT32" s="5">
        <f t="shared" si="30"/>
        <v>66.965079304546379</v>
      </c>
      <c r="DU32" s="137">
        <f t="shared" si="31"/>
        <v>29.300584158129556</v>
      </c>
      <c r="DV32" s="138">
        <f t="shared" si="32"/>
        <v>50.159626183924168</v>
      </c>
      <c r="DW32" s="130">
        <f t="shared" si="33"/>
        <v>61.451301318411133</v>
      </c>
      <c r="DX32" s="137">
        <v>27.6216915581686</v>
      </c>
      <c r="DY32" s="138">
        <v>61.278460975680652</v>
      </c>
      <c r="DZ32" s="137">
        <f t="shared" si="34"/>
        <v>33.715934210337444</v>
      </c>
      <c r="EA32" s="138">
        <v>45.7498633040477</v>
      </c>
      <c r="EB32" s="130">
        <v>56.183612334418299</v>
      </c>
      <c r="EC32" s="139">
        <f t="shared" si="35"/>
        <v>0.59048308650414649</v>
      </c>
      <c r="ED32" s="140">
        <f t="shared" si="36"/>
        <v>3.7871398566286163</v>
      </c>
      <c r="EE32" s="139">
        <f t="shared" si="37"/>
        <v>0.59048308650414649</v>
      </c>
      <c r="EF32" s="141">
        <f>(S32+BC32+BA32+BD32)/(AZ32+BB32)</f>
        <v>3.3929758142329036</v>
      </c>
      <c r="EG32" s="142">
        <f t="shared" si="39"/>
        <v>2.5857666143666238</v>
      </c>
      <c r="EH32" s="117">
        <f t="shared" si="40"/>
        <v>21.051796100128865</v>
      </c>
      <c r="EI32" s="117">
        <f t="shared" si="41"/>
        <v>12.430729537660046</v>
      </c>
      <c r="EJ32" s="135">
        <f t="shared" si="42"/>
        <v>7.6005834745932344</v>
      </c>
      <c r="EK32" s="135">
        <f t="shared" si="43"/>
        <v>25.788595903353126</v>
      </c>
      <c r="EL32" s="143">
        <f t="shared" si="44"/>
        <v>9.2872739474836266</v>
      </c>
      <c r="EM32" s="143">
        <f t="shared" si="45"/>
        <v>24.014722911880085</v>
      </c>
      <c r="EN32" s="144">
        <f t="shared" si="46"/>
        <v>23.514868103504661</v>
      </c>
      <c r="EO32" s="145">
        <f t="shared" si="47"/>
        <v>13.885131896495338</v>
      </c>
      <c r="EP32" s="146">
        <f t="shared" si="48"/>
        <v>9.2872739474836266</v>
      </c>
      <c r="EQ32" s="134">
        <f t="shared" si="49"/>
        <v>24.014722911880085</v>
      </c>
      <c r="ER32" s="130">
        <f t="shared" si="50"/>
        <v>7.5807375837280526</v>
      </c>
      <c r="ES32" s="130">
        <f t="shared" si="51"/>
        <v>25.72125927563566</v>
      </c>
      <c r="ET32" s="117">
        <f t="shared" si="200"/>
        <v>8.9625256377889109</v>
      </c>
      <c r="EU32" s="135">
        <f t="shared" si="201"/>
        <v>23.899179377946361</v>
      </c>
      <c r="EV32" s="5">
        <f t="shared" si="52"/>
        <v>21.691996859363712</v>
      </c>
      <c r="EW32" s="145">
        <f t="shared" si="53"/>
        <v>12.939999999999998</v>
      </c>
      <c r="EX32" s="134">
        <f t="shared" si="54"/>
        <v>21.635996859363711</v>
      </c>
      <c r="EY32" s="130">
        <f t="shared" si="55"/>
        <v>23.831996859363713</v>
      </c>
      <c r="EZ32" s="117">
        <f t="shared" si="202"/>
        <v>36.551899012189686</v>
      </c>
      <c r="FA32" s="135">
        <f t="shared" si="203"/>
        <v>251.83539913536731</v>
      </c>
      <c r="FB32" s="5">
        <f t="shared" si="174"/>
        <v>186.83890490408021</v>
      </c>
      <c r="FC32" s="145">
        <f t="shared" si="56"/>
        <v>52.902698282910862</v>
      </c>
      <c r="FD32" s="134">
        <f t="shared" si="57"/>
        <v>185.46199948023067</v>
      </c>
      <c r="FE32" s="130">
        <f t="shared" si="58"/>
        <v>251.65783378419971</v>
      </c>
      <c r="FF32" s="117">
        <f t="shared" si="59"/>
        <v>18.422443097167239</v>
      </c>
      <c r="FG32" s="135">
        <f t="shared" si="175"/>
        <v>21.257814224394966</v>
      </c>
      <c r="FH32" s="5">
        <f t="shared" si="60"/>
        <v>13.988536226244099</v>
      </c>
      <c r="FI32" s="145">
        <f t="shared" si="61"/>
        <v>18.422443097167239</v>
      </c>
      <c r="FJ32" s="134">
        <f t="shared" si="62"/>
        <v>13.988536226244099</v>
      </c>
      <c r="FK32" s="145">
        <f t="shared" si="63"/>
        <v>21.198549356752022</v>
      </c>
      <c r="FL32" s="134">
        <f t="shared" si="64"/>
        <v>13.988536226244099</v>
      </c>
      <c r="FM32" s="130">
        <v>12.925706287910289</v>
      </c>
      <c r="FN32" s="111">
        <v>103.4</v>
      </c>
      <c r="FO32" s="147">
        <f t="shared" si="65"/>
        <v>3.0667991981161578</v>
      </c>
      <c r="FP32" s="148">
        <f t="shared" si="66"/>
        <v>4.3422442352398534</v>
      </c>
      <c r="FQ32" s="149">
        <f t="shared" si="67"/>
        <v>1.544088367755879</v>
      </c>
      <c r="FR32" s="150">
        <f t="shared" si="68"/>
        <v>2.965956671292222E-2</v>
      </c>
      <c r="FS32" s="151">
        <f t="shared" si="68"/>
        <v>4.1994625099031464E-2</v>
      </c>
      <c r="FT32" s="122">
        <f t="shared" si="68"/>
        <v>1.4933156361275424E-2</v>
      </c>
      <c r="FU32" s="152">
        <f t="shared" si="69"/>
        <v>1.109267795063291</v>
      </c>
      <c r="FV32" s="140">
        <f t="shared" si="70"/>
        <v>0.66392035573097596</v>
      </c>
      <c r="FW32" s="153">
        <f t="shared" si="71"/>
        <v>0.54192500638527985</v>
      </c>
      <c r="FX32" s="152">
        <f t="shared" si="72"/>
        <v>1.681009915775753</v>
      </c>
      <c r="FY32" s="140">
        <f t="shared" si="73"/>
        <v>0.49730392624358127</v>
      </c>
      <c r="FZ32" s="140">
        <f t="shared" si="176"/>
        <v>34.523858498010753</v>
      </c>
      <c r="GA32" s="153">
        <f t="shared" si="176"/>
        <v>28.180100332034552</v>
      </c>
      <c r="GB32" s="152">
        <f t="shared" si="74"/>
        <v>3.4129012397950645E-2</v>
      </c>
      <c r="GC32" s="154">
        <f t="shared" si="75"/>
        <v>1.4933156361275422E-2</v>
      </c>
      <c r="GD32" s="152">
        <f t="shared" si="76"/>
        <v>2.9659566712922223E-2</v>
      </c>
      <c r="GE32" s="154">
        <f t="shared" si="77"/>
        <v>1.9936352721872823E-2</v>
      </c>
      <c r="GF32" s="155">
        <f t="shared" si="78"/>
        <v>1.7611117090887869E-2</v>
      </c>
      <c r="GG32" s="152">
        <f t="shared" si="79"/>
        <v>409.87228294610924</v>
      </c>
      <c r="GH32" s="134">
        <f t="shared" si="80"/>
        <v>33.301996859363712</v>
      </c>
      <c r="GI32" s="130">
        <f t="shared" si="81"/>
        <v>33.301996859363712</v>
      </c>
      <c r="GJ32" s="152">
        <f t="shared" si="82"/>
        <v>0.94270105364110479</v>
      </c>
      <c r="GK32" s="154">
        <f t="shared" si="82"/>
        <v>0.91508083932815321</v>
      </c>
      <c r="GL32" s="152">
        <f t="shared" si="82"/>
        <v>1</v>
      </c>
      <c r="GM32" s="154">
        <f t="shared" si="82"/>
        <v>0.9120854118069609</v>
      </c>
      <c r="GN32" s="154">
        <f t="shared" si="82"/>
        <v>0.98945617541049258</v>
      </c>
      <c r="GO32" s="112">
        <f t="shared" si="177"/>
        <v>0.5464016800554452</v>
      </c>
      <c r="GP32" s="156">
        <f t="shared" si="177"/>
        <v>0.89271393877832483</v>
      </c>
      <c r="GQ32" s="115">
        <f t="shared" si="177"/>
        <v>0.20889299873186878</v>
      </c>
      <c r="GR32" s="117">
        <f t="shared" si="204"/>
        <v>363.70178965090895</v>
      </c>
      <c r="GS32" s="135">
        <f t="shared" si="178"/>
        <v>1549.9632634232507</v>
      </c>
      <c r="GT32" s="5">
        <f t="shared" si="178"/>
        <v>361.74080736101166</v>
      </c>
      <c r="GU32" s="130">
        <f t="shared" si="83"/>
        <v>394.19835435385875</v>
      </c>
      <c r="GV32" s="145">
        <f t="shared" si="84"/>
        <v>951.33522957134358</v>
      </c>
      <c r="GW32" s="134">
        <f t="shared" si="85"/>
        <v>395.3102193972278</v>
      </c>
      <c r="GX32" s="157">
        <f t="shared" si="179"/>
        <v>0.62873978886376103</v>
      </c>
      <c r="GY32" s="154">
        <f t="shared" si="86"/>
        <v>0.20889299873186876</v>
      </c>
      <c r="GZ32" s="157">
        <f t="shared" si="86"/>
        <v>0.62873978886376103</v>
      </c>
      <c r="HA32" s="154">
        <f t="shared" si="86"/>
        <v>0.27888039226909811</v>
      </c>
      <c r="HB32" s="155">
        <f t="shared" si="86"/>
        <v>0.22763612691881369</v>
      </c>
      <c r="HC32" s="157">
        <f t="shared" si="87"/>
        <v>0.66695564456548084</v>
      </c>
      <c r="HD32" s="154">
        <f t="shared" si="88"/>
        <v>0.22827819112160266</v>
      </c>
      <c r="HE32" s="144">
        <v>103.4</v>
      </c>
      <c r="HF32" s="146"/>
      <c r="HG32" s="158">
        <f t="shared" si="89"/>
        <v>140.63997738375051</v>
      </c>
      <c r="HH32" s="2">
        <f t="shared" si="90"/>
        <v>86.066214636667468</v>
      </c>
      <c r="HI32" s="2">
        <f t="shared" si="91"/>
        <v>91.134380774633755</v>
      </c>
      <c r="HJ32" s="2">
        <f t="shared" si="92"/>
        <v>98.162729658792642</v>
      </c>
      <c r="HK32" s="2">
        <f t="shared" si="93"/>
        <v>147.7683380893572</v>
      </c>
      <c r="HL32" s="2">
        <f t="shared" si="180"/>
        <v>97.934546551987694</v>
      </c>
      <c r="HM32" s="2">
        <f t="shared" si="94"/>
        <v>171.69098879000222</v>
      </c>
      <c r="HN32" s="2">
        <f t="shared" si="95"/>
        <v>105.89535454962187</v>
      </c>
      <c r="HO32" s="2">
        <f t="shared" si="181"/>
        <v>65.707665966194355</v>
      </c>
      <c r="HP32" s="2">
        <f t="shared" si="96"/>
        <v>96.201235864241596</v>
      </c>
      <c r="HQ32" s="2">
        <f t="shared" si="182"/>
        <v>80.230559718900139</v>
      </c>
      <c r="HR32" s="159">
        <f t="shared" si="97"/>
        <v>137.39565241184002</v>
      </c>
      <c r="HS32" s="12">
        <f t="shared" si="98"/>
        <v>108.36959098580661</v>
      </c>
      <c r="HT32" s="12">
        <f t="shared" si="99"/>
        <v>82.981074332688607</v>
      </c>
      <c r="HU32" s="12">
        <f t="shared" si="100"/>
        <v>88.781649851676121</v>
      </c>
      <c r="HV32" s="12">
        <f t="shared" si="101"/>
        <v>121.94070066374607</v>
      </c>
      <c r="HW32" s="12">
        <f t="shared" si="183"/>
        <v>91.459281406247271</v>
      </c>
      <c r="HX32" s="12">
        <f t="shared" si="102"/>
        <v>137.41194721261394</v>
      </c>
      <c r="HY32" s="12">
        <f t="shared" si="103"/>
        <v>112.07672715573611</v>
      </c>
      <c r="HZ32" s="12">
        <f t="shared" si="104"/>
        <v>74.9550686225422</v>
      </c>
      <c r="IA32" s="12">
        <f t="shared" si="105"/>
        <v>110.00914560814185</v>
      </c>
      <c r="IB32" s="12">
        <f t="shared" si="184"/>
        <v>91.508083932815325</v>
      </c>
      <c r="IC32" s="158">
        <f t="shared" si="106"/>
        <v>171.66972612188107</v>
      </c>
      <c r="ID32" s="2">
        <f t="shared" si="107"/>
        <v>96.132080060114717</v>
      </c>
      <c r="IE32" s="2">
        <f t="shared" si="108"/>
        <v>101.7971546663881</v>
      </c>
      <c r="IF32" s="2">
        <f t="shared" si="109"/>
        <v>98.162729658792642</v>
      </c>
      <c r="IG32" s="2">
        <f t="shared" si="110"/>
        <v>150.88804538861419</v>
      </c>
      <c r="IH32" s="2">
        <f t="shared" si="185"/>
        <v>97.934546551987694</v>
      </c>
      <c r="II32" s="2">
        <f t="shared" si="111"/>
        <v>168.1090353429978</v>
      </c>
      <c r="IJ32" s="2">
        <f t="shared" si="112"/>
        <v>105.89535454962187</v>
      </c>
      <c r="IK32" s="2">
        <f t="shared" si="113"/>
        <v>94.868035190615814</v>
      </c>
      <c r="IL32" s="2">
        <f t="shared" si="114"/>
        <v>58.247381604324865</v>
      </c>
      <c r="IM32" s="2">
        <f t="shared" si="186"/>
        <v>100</v>
      </c>
      <c r="IN32" s="159">
        <f t="shared" si="115"/>
        <v>139.69423909632886</v>
      </c>
      <c r="IO32" s="12">
        <f t="shared" si="116"/>
        <v>79.60975439296783</v>
      </c>
      <c r="IP32" s="12">
        <f t="shared" si="117"/>
        <v>92.936234179102499</v>
      </c>
      <c r="IQ32" s="12">
        <f t="shared" si="118"/>
        <v>88.781649851676121</v>
      </c>
      <c r="IR32" s="12">
        <f t="shared" si="119"/>
        <v>121.94070066374607</v>
      </c>
      <c r="IS32" s="12">
        <f t="shared" si="187"/>
        <v>89.672151855015471</v>
      </c>
      <c r="IT32" s="12">
        <f t="shared" si="120"/>
        <v>137.41194721261394</v>
      </c>
      <c r="IU32" s="12">
        <f t="shared" si="121"/>
        <v>116.73152100393762</v>
      </c>
      <c r="IV32" s="12">
        <f t="shared" si="122"/>
        <v>83.730638000633562</v>
      </c>
      <c r="IW32" s="12">
        <f t="shared" si="123"/>
        <v>65.365090891386302</v>
      </c>
      <c r="IX32" s="12">
        <f t="shared" si="188"/>
        <v>91.208541180696088</v>
      </c>
      <c r="IY32" s="160">
        <f t="shared" si="124"/>
        <v>139.27519170654014</v>
      </c>
      <c r="IZ32" s="25">
        <f t="shared" si="125"/>
        <v>80.050027283295165</v>
      </c>
      <c r="JA32" s="25">
        <f t="shared" si="126"/>
        <v>91.730596560754847</v>
      </c>
      <c r="JB32" s="25">
        <f t="shared" si="127"/>
        <v>88.781649851676121</v>
      </c>
      <c r="JC32" s="25">
        <f t="shared" si="128"/>
        <v>121.94070066374607</v>
      </c>
      <c r="JD32" s="25">
        <f t="shared" si="189"/>
        <v>90.152921552005409</v>
      </c>
      <c r="JE32" s="25">
        <f t="shared" si="129"/>
        <v>126.97157453742918</v>
      </c>
      <c r="JF32" s="25">
        <f t="shared" si="130"/>
        <v>114.61284748015133</v>
      </c>
      <c r="JG32" s="25">
        <f t="shared" si="131"/>
        <v>84.992856131824951</v>
      </c>
      <c r="JH32" s="25">
        <f t="shared" si="132"/>
        <v>71.012568914870442</v>
      </c>
      <c r="JI32" s="25">
        <f t="shared" si="190"/>
        <v>98.945617541049259</v>
      </c>
    </row>
    <row r="33" spans="1:269" x14ac:dyDescent="0.35">
      <c r="A33" s="109">
        <v>2018</v>
      </c>
      <c r="B33" s="110">
        <v>1047477000000</v>
      </c>
      <c r="C33" s="111">
        <v>97.1</v>
      </c>
      <c r="D33" s="112">
        <f>C33/100</f>
        <v>0.97099999999999997</v>
      </c>
      <c r="E33" s="111">
        <f t="shared" si="134"/>
        <v>10787610710.607622</v>
      </c>
      <c r="F33" s="113">
        <f>B33/D33</f>
        <v>1078761071060.7621</v>
      </c>
      <c r="G33" s="114">
        <v>84595000000</v>
      </c>
      <c r="H33" s="110">
        <v>11012000000</v>
      </c>
      <c r="I33" s="110">
        <v>382670000000</v>
      </c>
      <c r="J33" s="110">
        <v>146251000000</v>
      </c>
      <c r="K33" s="112">
        <v>98.8</v>
      </c>
      <c r="L33" s="112">
        <f>K33/100</f>
        <v>0.98799999999999999</v>
      </c>
      <c r="M33" s="112">
        <f>G33/K33</f>
        <v>856224696.35627532</v>
      </c>
      <c r="N33" s="112">
        <f t="shared" si="138"/>
        <v>3873178137.6518221</v>
      </c>
      <c r="O33" s="112">
        <f t="shared" si="139"/>
        <v>3873178137.6518221</v>
      </c>
      <c r="P33" s="112">
        <f t="shared" si="140"/>
        <v>85622469635.627533</v>
      </c>
      <c r="Q33" s="112">
        <f t="shared" si="141"/>
        <v>11145748987.854252</v>
      </c>
      <c r="R33" s="112">
        <f t="shared" si="142"/>
        <v>387317813765.18219</v>
      </c>
      <c r="S33" s="115">
        <f t="shared" si="143"/>
        <v>484086032388.66394</v>
      </c>
      <c r="T33" s="112">
        <f t="shared" si="144"/>
        <v>1480273279.3522267</v>
      </c>
      <c r="U33" s="115">
        <f t="shared" si="145"/>
        <v>148027327935.22269</v>
      </c>
      <c r="V33" s="116">
        <f t="shared" si="146"/>
        <v>1710874431384.6487</v>
      </c>
      <c r="W33" s="117">
        <f t="shared" si="147"/>
        <v>1672005000000</v>
      </c>
      <c r="X33" s="112">
        <v>92.350874999999988</v>
      </c>
      <c r="Y33" s="112">
        <f>X33/100</f>
        <v>0.92350874999999988</v>
      </c>
      <c r="Z33" s="112">
        <f t="shared" si="149"/>
        <v>1810491779314.4897</v>
      </c>
      <c r="AA33" s="4">
        <v>0.25600000000000001</v>
      </c>
      <c r="AB33" s="4">
        <v>0.34399999999999997</v>
      </c>
      <c r="AC33" s="115">
        <f>AA33+AB33</f>
        <v>0.6</v>
      </c>
      <c r="AD33" s="118">
        <v>0.27850824884522601</v>
      </c>
      <c r="AE33" s="115">
        <f>AC33+AD33</f>
        <v>0.87850824884522605</v>
      </c>
      <c r="AF33" s="115">
        <f>1-AD33-AC33</f>
        <v>0.12149175115477406</v>
      </c>
      <c r="AG33" s="119">
        <v>0.25411047870577702</v>
      </c>
      <c r="AH33" s="119">
        <v>0.33601705997735287</v>
      </c>
      <c r="AI33" s="119">
        <f>AG33+AH33</f>
        <v>0.59012753868312995</v>
      </c>
      <c r="AJ33" s="16">
        <v>2061000</v>
      </c>
      <c r="AK33" s="120">
        <v>27048000</v>
      </c>
      <c r="AL33" s="121">
        <f>AJ33+AK33</f>
        <v>29109000</v>
      </c>
      <c r="AM33" s="122">
        <v>0.1879374</v>
      </c>
      <c r="AN33" s="123">
        <f>AK33*AM33</f>
        <v>5083330.7952000005</v>
      </c>
      <c r="AO33" s="124">
        <f>1-AM33</f>
        <v>0.81206259999999997</v>
      </c>
      <c r="AP33" s="123">
        <f>AK33*AO33</f>
        <v>21964669.204799999</v>
      </c>
      <c r="AQ33" s="122">
        <v>0.48072009999999998</v>
      </c>
      <c r="AR33" s="123">
        <f>AP33*AQ33</f>
        <v>10558857.976598375</v>
      </c>
      <c r="AS33" s="123">
        <f>AP33*(1-AQ33)</f>
        <v>11405811.228201624</v>
      </c>
      <c r="AT33" s="115">
        <f>(F33*AA33)/(AR33*52)</f>
        <v>502.97330887709404</v>
      </c>
      <c r="AU33" s="126">
        <v>0.7097118</v>
      </c>
      <c r="AV33" s="123">
        <f>AN33*AU33</f>
        <v>3607699.8486568239</v>
      </c>
      <c r="AW33" s="123">
        <f>AN33*(1-AU33)</f>
        <v>1475630.9465431767</v>
      </c>
      <c r="AX33" s="127">
        <f>AR33+AV33</f>
        <v>14166557.825255198</v>
      </c>
      <c r="AY33" s="127">
        <f t="shared" ref="AY33:AY58" si="206">AS33+AW33</f>
        <v>12881442.1747448</v>
      </c>
      <c r="AZ33" s="16">
        <f>AN33*AU33*AT33*52</f>
        <v>94357989976.34433</v>
      </c>
      <c r="BA33" s="16">
        <f t="shared" si="3"/>
        <v>53669337958.878357</v>
      </c>
      <c r="BB33" s="16">
        <f t="shared" si="4"/>
        <v>276162834191.55511</v>
      </c>
      <c r="BC33" s="16">
        <f>F33*AB33</f>
        <v>371093808444.9021</v>
      </c>
      <c r="BD33" s="17">
        <f>F33*AD33</f>
        <v>300443856823.53326</v>
      </c>
      <c r="BE33" s="16">
        <f>SUM(BB33:BD33)</f>
        <v>947700499459.99048</v>
      </c>
      <c r="BF33" s="117">
        <v>1078761071060.7621</v>
      </c>
      <c r="BG33" s="116">
        <f>BE33/BF33</f>
        <v>0.87850824884522594</v>
      </c>
      <c r="BH33" s="115">
        <v>0.87850824884522605</v>
      </c>
      <c r="BI33" s="17">
        <v>8113399.7976130499</v>
      </c>
      <c r="BJ33" s="7">
        <f>BF33*BH33</f>
        <v>947700499459.9906</v>
      </c>
      <c r="BK33" s="16">
        <f>BB33+AZ33</f>
        <v>370520824167.89941</v>
      </c>
      <c r="BL33" s="112">
        <f>BF33/AL33</f>
        <v>37059.365524777975</v>
      </c>
      <c r="BM33" s="112">
        <f>BJ33/AL33</f>
        <v>32556.958310487844</v>
      </c>
      <c r="BN33" s="115">
        <f>BK33/AX33</f>
        <v>26154.612061608888</v>
      </c>
      <c r="BO33" s="112">
        <f>BL33/52</f>
        <v>712.68010624573026</v>
      </c>
      <c r="BP33" s="112">
        <f>BM33/52</f>
        <v>626.09535212476624</v>
      </c>
      <c r="BQ33" s="115">
        <f>BN33/52</f>
        <v>502.97330887709398</v>
      </c>
      <c r="BR33" s="112">
        <f>V33-BF33</f>
        <v>632113360323.8866</v>
      </c>
      <c r="BS33" s="115">
        <f>V33-BK33</f>
        <v>1340353607216.7493</v>
      </c>
      <c r="BT33" s="112">
        <f>S33+U33</f>
        <v>632113360323.8866</v>
      </c>
      <c r="BU33" s="115">
        <f>S33+BA33+BC33</f>
        <v>908849178792.44434</v>
      </c>
      <c r="BV33" s="118">
        <f>S33+BA33+BC33+BD33</f>
        <v>1209293035615.9775</v>
      </c>
      <c r="BW33" s="112">
        <f>V33/AL33</f>
        <v>58774.758026199757</v>
      </c>
      <c r="BX33" s="115">
        <f>V33/AX33</f>
        <v>120768.53477664245</v>
      </c>
      <c r="BY33" s="128" t="e">
        <f t="shared" si="17"/>
        <v>#DIV/0!</v>
      </c>
      <c r="BZ33" s="119" t="e">
        <f t="shared" si="18"/>
        <v>#DIV/0!</v>
      </c>
      <c r="CA33" s="113">
        <v>37.1</v>
      </c>
      <c r="CB33" s="113">
        <v>16.3</v>
      </c>
      <c r="CC33" s="113">
        <v>9.9</v>
      </c>
      <c r="CD33" s="113">
        <v>20466470.231227372</v>
      </c>
      <c r="CE33" s="113">
        <v>6988379.7213670462</v>
      </c>
      <c r="CF33" s="113">
        <v>1125903.2220019554</v>
      </c>
      <c r="CG33" s="113">
        <f t="shared" si="165"/>
        <v>28580753.174596373</v>
      </c>
      <c r="CH33" s="113">
        <v>29109000</v>
      </c>
      <c r="CI33" s="113">
        <f t="shared" si="166"/>
        <v>528246.82540362701</v>
      </c>
      <c r="CJ33" s="122">
        <f t="shared" si="167"/>
        <v>0.71609275326651378</v>
      </c>
      <c r="CK33" s="122">
        <f t="shared" si="168"/>
        <v>0.24451349055344615</v>
      </c>
      <c r="CL33" s="122">
        <f t="shared" si="169"/>
        <v>3.9393756180040061E-2</v>
      </c>
      <c r="CM33" s="129">
        <f t="shared" si="19"/>
        <v>30.942609228391234</v>
      </c>
      <c r="CN33" s="16">
        <v>1036649852.6877192</v>
      </c>
      <c r="CO33" s="16">
        <f t="shared" si="20"/>
        <v>884363076.93463778</v>
      </c>
      <c r="CP33" s="130">
        <v>31.13</v>
      </c>
      <c r="CQ33" s="131">
        <f>2*CM33-CP33</f>
        <v>30.755218456782469</v>
      </c>
      <c r="CR33" s="4">
        <v>32.65</v>
      </c>
      <c r="CS33" s="4">
        <v>33.799999999999997</v>
      </c>
      <c r="CT33" s="5">
        <f t="shared" si="21"/>
        <v>32.94286259069645</v>
      </c>
      <c r="CU33" s="5">
        <v>33.049999999999997</v>
      </c>
      <c r="CV33" s="5">
        <v>35.57</v>
      </c>
      <c r="CW33" s="161"/>
      <c r="CX33" s="134">
        <v>34.08</v>
      </c>
      <c r="CY33" s="5">
        <f t="shared" si="193"/>
        <v>33.034036745003149</v>
      </c>
      <c r="CZ33" s="5">
        <f t="shared" si="170"/>
        <v>33.243166948150446</v>
      </c>
      <c r="DA33" s="5">
        <f t="shared" si="194"/>
        <v>33.139447223980511</v>
      </c>
      <c r="DB33" s="117">
        <f t="shared" si="171"/>
        <v>1728.6446813038233</v>
      </c>
      <c r="DC33" s="135">
        <f t="shared" si="171"/>
        <v>1723.2512556469865</v>
      </c>
      <c r="DD33" s="5">
        <f t="shared" si="22"/>
        <v>1713.0288547162154</v>
      </c>
      <c r="DE33" s="131">
        <f t="shared" si="23"/>
        <v>428340139.58746463</v>
      </c>
      <c r="DF33" s="5">
        <f t="shared" si="24"/>
        <v>344746712.93593693</v>
      </c>
      <c r="DG33" s="131">
        <f t="shared" si="25"/>
        <v>632380571.31139469</v>
      </c>
      <c r="DH33" s="5">
        <f t="shared" si="26"/>
        <v>121940254.88460064</v>
      </c>
      <c r="DI33" s="7">
        <f t="shared" si="195"/>
        <v>967675346.69371128</v>
      </c>
      <c r="DJ33" s="136">
        <f t="shared" si="172"/>
        <v>1391540042.3615608</v>
      </c>
      <c r="DK33" s="16">
        <f t="shared" si="27"/>
        <v>466686967.82053757</v>
      </c>
      <c r="DL33" s="7">
        <f t="shared" si="196"/>
        <v>50319118028.072983</v>
      </c>
      <c r="DM33" s="136">
        <f t="shared" si="196"/>
        <v>72360082202.801163</v>
      </c>
      <c r="DN33" s="16">
        <f t="shared" si="173"/>
        <v>24267722326.667953</v>
      </c>
      <c r="DO33" s="117">
        <f t="shared" si="197"/>
        <v>1728.6446813038231</v>
      </c>
      <c r="DP33" s="135">
        <f t="shared" si="198"/>
        <v>1723.2512556469867</v>
      </c>
      <c r="DQ33" s="5">
        <f t="shared" si="28"/>
        <v>1713.0288547162156</v>
      </c>
      <c r="DR33" s="117">
        <f t="shared" si="29"/>
        <v>34.000485271426136</v>
      </c>
      <c r="DS33" s="135">
        <f t="shared" si="199"/>
        <v>23.643898394001802</v>
      </c>
      <c r="DT33" s="5">
        <f t="shared" si="30"/>
        <v>70.500000303059267</v>
      </c>
      <c r="DU33" s="137">
        <f t="shared" si="31"/>
        <v>29.869706775688471</v>
      </c>
      <c r="DV33" s="138">
        <f t="shared" si="32"/>
        <v>52.718997924021735</v>
      </c>
      <c r="DW33" s="130">
        <f t="shared" si="33"/>
        <v>65.099387512268081</v>
      </c>
      <c r="DX33" s="137" t="e">
        <v>#DIV/0!</v>
      </c>
      <c r="DY33" s="138" t="e">
        <v>#DIV/0!</v>
      </c>
      <c r="DZ33" s="137">
        <f t="shared" si="34"/>
        <v>34.000485271426129</v>
      </c>
      <c r="EA33" s="138">
        <f>FL33*(EG33+1)</f>
        <v>52.718997924021735</v>
      </c>
      <c r="EB33" s="130">
        <v>56.183612334418299</v>
      </c>
      <c r="EC33" s="139">
        <f t="shared" si="35"/>
        <v>0.58596233891006089</v>
      </c>
      <c r="ED33" s="140">
        <f t="shared" si="36"/>
        <v>3.6174852256330285</v>
      </c>
      <c r="EE33" s="139">
        <f t="shared" si="37"/>
        <v>0.58596233891006089</v>
      </c>
      <c r="EF33" s="141">
        <f t="shared" si="38"/>
        <v>3.2637653722479936</v>
      </c>
      <c r="EG33" s="142">
        <f t="shared" si="39"/>
        <v>2.4528963542966871</v>
      </c>
      <c r="EH33" s="117">
        <f t="shared" si="40"/>
        <v>20.960880427335074</v>
      </c>
      <c r="EI33" s="117">
        <f t="shared" si="41"/>
        <v>12.282286520815372</v>
      </c>
      <c r="EJ33" s="135">
        <f t="shared" si="42"/>
        <v>7.7723430655163686</v>
      </c>
      <c r="EK33" s="135">
        <f t="shared" si="43"/>
        <v>25.367104158464144</v>
      </c>
      <c r="EL33" s="143">
        <f t="shared" si="44"/>
        <v>9.5406462315914222</v>
      </c>
      <c r="EM33" s="143">
        <f t="shared" si="45"/>
        <v>23.402216359105026</v>
      </c>
      <c r="EN33" s="144">
        <f t="shared" si="46"/>
        <v>23.392737071863046</v>
      </c>
      <c r="EO33" s="145">
        <f t="shared" si="47"/>
        <v>13.707262928136956</v>
      </c>
      <c r="EP33" s="146">
        <f t="shared" si="48"/>
        <v>9.5406462315914222</v>
      </c>
      <c r="EQ33" s="134">
        <f t="shared" si="49"/>
        <v>23.402216359105026</v>
      </c>
      <c r="ER33" s="130">
        <f t="shared" si="50"/>
        <v>7.7262371905159313</v>
      </c>
      <c r="ES33" s="130">
        <f t="shared" si="51"/>
        <v>25.216625400180519</v>
      </c>
      <c r="ET33" s="117">
        <f t="shared" si="200"/>
        <v>8.7231669481504461</v>
      </c>
      <c r="EU33" s="135">
        <f t="shared" si="201"/>
        <v>23.649447223980509</v>
      </c>
      <c r="EV33" s="5">
        <f t="shared" si="52"/>
        <v>21.33286259069645</v>
      </c>
      <c r="EW33" s="145">
        <f t="shared" si="53"/>
        <v>12.64</v>
      </c>
      <c r="EX33" s="134">
        <f t="shared" si="54"/>
        <v>21.276862590696449</v>
      </c>
      <c r="EY33" s="130">
        <f t="shared" si="55"/>
        <v>23.472862590696451</v>
      </c>
      <c r="EZ33" s="117">
        <f t="shared" si="202"/>
        <v>35.575721648248148</v>
      </c>
      <c r="FA33" s="135">
        <f t="shared" si="203"/>
        <v>249.20386958883572</v>
      </c>
      <c r="FB33" s="5">
        <f t="shared" si="174"/>
        <v>183.74558648317355</v>
      </c>
      <c r="FC33" s="145">
        <f t="shared" si="56"/>
        <v>51.676206050695015</v>
      </c>
      <c r="FD33" s="134">
        <f t="shared" si="57"/>
        <v>182.38352983624594</v>
      </c>
      <c r="FE33" s="130">
        <f t="shared" si="58"/>
        <v>247.86549726184211</v>
      </c>
      <c r="FF33" s="117">
        <f t="shared" si="59"/>
        <v>18.833805849523625</v>
      </c>
      <c r="FG33" s="135">
        <f t="shared" si="175"/>
        <v>21.505491670664249</v>
      </c>
      <c r="FH33" s="5">
        <f t="shared" si="60"/>
        <v>15.268051083670581</v>
      </c>
      <c r="FI33" s="145">
        <f t="shared" si="61"/>
        <v>18.833805849523621</v>
      </c>
      <c r="FJ33" s="134">
        <f t="shared" si="62"/>
        <v>15.268051083670581</v>
      </c>
      <c r="FK33" s="145">
        <f t="shared" si="63"/>
        <v>21.43839386173109</v>
      </c>
      <c r="FL33" s="134">
        <f t="shared" si="64"/>
        <v>15.268051083670581</v>
      </c>
      <c r="FM33" s="130">
        <v>0</v>
      </c>
      <c r="FN33" s="111">
        <v>105.9</v>
      </c>
      <c r="FO33" s="147">
        <f t="shared" si="65"/>
        <v>3.1146614277590303</v>
      </c>
      <c r="FP33" s="148">
        <f t="shared" si="66"/>
        <v>4.4789568215563671</v>
      </c>
      <c r="FQ33" s="149">
        <f t="shared" si="67"/>
        <v>1.5021276531172525</v>
      </c>
      <c r="FR33" s="150">
        <f t="shared" si="68"/>
        <v>2.9411344926903022E-2</v>
      </c>
      <c r="FS33" s="151">
        <f t="shared" si="68"/>
        <v>4.229420983528203E-2</v>
      </c>
      <c r="FT33" s="122">
        <f t="shared" si="68"/>
        <v>1.4184397102145915E-2</v>
      </c>
      <c r="FU33" s="152">
        <f t="shared" si="69"/>
        <v>1.0911608967881024</v>
      </c>
      <c r="FV33" s="140">
        <f t="shared" si="70"/>
        <v>0.62487649401404555</v>
      </c>
      <c r="FW33" s="153">
        <f t="shared" si="71"/>
        <v>0.50603951664657854</v>
      </c>
      <c r="FX33" s="152">
        <f t="shared" si="72"/>
        <v>1.5321364163420923</v>
      </c>
      <c r="FY33" s="140">
        <f t="shared" si="73"/>
        <v>0.46727464466786578</v>
      </c>
      <c r="FZ33" s="140">
        <f t="shared" si="176"/>
        <v>32.493577688730369</v>
      </c>
      <c r="GA33" s="153">
        <f t="shared" si="176"/>
        <v>26.314054865622083</v>
      </c>
      <c r="GB33" s="152">
        <f t="shared" si="74"/>
        <v>3.3478735077972686E-2</v>
      </c>
      <c r="GC33" s="154">
        <f t="shared" si="75"/>
        <v>1.4184397102145915E-2</v>
      </c>
      <c r="GD33" s="152">
        <f t="shared" si="76"/>
        <v>2.9411344926903022E-2</v>
      </c>
      <c r="GE33" s="154">
        <f t="shared" si="77"/>
        <v>1.8968494079519366E-2</v>
      </c>
      <c r="GF33" s="155" t="e">
        <f t="shared" si="78"/>
        <v>#DIV/0!</v>
      </c>
      <c r="GG33" s="152">
        <f t="shared" si="79"/>
        <v>456.05220890547287</v>
      </c>
      <c r="GH33" s="134">
        <f t="shared" si="80"/>
        <v>32.94286259069645</v>
      </c>
      <c r="GI33" s="130">
        <f t="shared" si="81"/>
        <v>32.94286259069645</v>
      </c>
      <c r="GJ33" s="152" t="e">
        <f t="shared" si="82"/>
        <v>#DIV/0!</v>
      </c>
      <c r="GK33" s="154" t="e">
        <f t="shared" si="82"/>
        <v>#DIV/0!</v>
      </c>
      <c r="GL33" s="152">
        <f t="shared" si="82"/>
        <v>0.99999999999999978</v>
      </c>
      <c r="GM33" s="154">
        <f t="shared" si="82"/>
        <v>1</v>
      </c>
      <c r="GN33" s="154" t="e">
        <f t="shared" si="82"/>
        <v>#DIV/0!</v>
      </c>
      <c r="GO33" s="112">
        <f t="shared" si="177"/>
        <v>0.55392756012666311</v>
      </c>
      <c r="GP33" s="156">
        <f t="shared" si="177"/>
        <v>0.90955777732998366</v>
      </c>
      <c r="GQ33" s="115">
        <f t="shared" si="177"/>
        <v>0.21656809954663278</v>
      </c>
      <c r="GR33" s="117">
        <f t="shared" si="204"/>
        <v>374.36929342136364</v>
      </c>
      <c r="GS33" s="135">
        <f t="shared" si="178"/>
        <v>1567.3965818673767</v>
      </c>
      <c r="GT33" s="5">
        <f t="shared" si="178"/>
        <v>370.98740353443571</v>
      </c>
      <c r="GU33" s="130">
        <f t="shared" si="83"/>
        <v>401.76433390682843</v>
      </c>
      <c r="GV33" s="145">
        <f t="shared" si="84"/>
        <v>957.54393064056001</v>
      </c>
      <c r="GW33" s="134" t="e">
        <f t="shared" si="85"/>
        <v>#DIV/0!</v>
      </c>
      <c r="GX33" s="157">
        <f t="shared" si="179"/>
        <v>0.63053199654617376</v>
      </c>
      <c r="GY33" s="154">
        <f t="shared" si="86"/>
        <v>0.21656809954663278</v>
      </c>
      <c r="GZ33" s="157">
        <f t="shared" si="86"/>
        <v>0.63053199654617353</v>
      </c>
      <c r="HA33" s="154">
        <f t="shared" si="86"/>
        <v>0.28961193658640466</v>
      </c>
      <c r="HB33" s="155" t="e">
        <f t="shared" si="86"/>
        <v>#DIV/0!</v>
      </c>
      <c r="HC33" s="157" t="e">
        <f t="shared" si="87"/>
        <v>#DIV/0!</v>
      </c>
      <c r="HD33" s="154" t="e">
        <f t="shared" si="88"/>
        <v>#DIV/0!</v>
      </c>
      <c r="HE33" s="144">
        <v>105.9</v>
      </c>
      <c r="HF33" s="146"/>
      <c r="HG33" s="158" t="e">
        <f t="shared" si="89"/>
        <v>#DIV/0!</v>
      </c>
      <c r="HH33" s="2">
        <f t="shared" si="90"/>
        <v>85.694523415106588</v>
      </c>
      <c r="HI33" s="2">
        <f t="shared" si="91"/>
        <v>90.046088862282787</v>
      </c>
      <c r="HJ33" s="2">
        <f t="shared" si="92"/>
        <v>97.375328083989501</v>
      </c>
      <c r="HK33" s="2">
        <f t="shared" si="93"/>
        <v>148.37190484953416</v>
      </c>
      <c r="HL33" s="2">
        <f t="shared" si="180"/>
        <v>98.213706627129866</v>
      </c>
      <c r="HM33" s="2">
        <f t="shared" si="94"/>
        <v>175.52475162650163</v>
      </c>
      <c r="HN33" s="2">
        <f t="shared" si="95"/>
        <v>105.08461808612846</v>
      </c>
      <c r="HO33" s="2">
        <f t="shared" si="181"/>
        <v>63.952836863273063</v>
      </c>
      <c r="HP33" s="2">
        <f t="shared" si="96"/>
        <v>97.702607602466529</v>
      </c>
      <c r="HQ33" s="2" t="e">
        <f t="shared" si="182"/>
        <v>#DIV/0!</v>
      </c>
      <c r="HR33" s="159" t="e">
        <f t="shared" si="97"/>
        <v>#DIV/0!</v>
      </c>
      <c r="HS33" s="12">
        <f t="shared" si="98"/>
        <v>111.32609371751951</v>
      </c>
      <c r="HT33" s="12">
        <f t="shared" si="99"/>
        <v>80.864603866983501</v>
      </c>
      <c r="HU33" s="12">
        <f t="shared" si="100"/>
        <v>87.824213784847913</v>
      </c>
      <c r="HV33" s="12">
        <f t="shared" si="101"/>
        <v>131.65915936536317</v>
      </c>
      <c r="HW33" s="12">
        <f t="shared" si="183"/>
        <v>94.819658295373372</v>
      </c>
      <c r="HX33" s="12">
        <f t="shared" si="102"/>
        <v>149.98085543880728</v>
      </c>
      <c r="HY33" s="12">
        <f t="shared" si="103"/>
        <v>107.05596306762912</v>
      </c>
      <c r="HZ33" s="12">
        <f t="shared" si="104"/>
        <v>73.714107086027809</v>
      </c>
      <c r="IA33" s="12">
        <f t="shared" si="105"/>
        <v>107.01963900806872</v>
      </c>
      <c r="IB33" s="12" t="e">
        <f t="shared" si="184"/>
        <v>#DIV/0!</v>
      </c>
      <c r="IC33" s="158">
        <f t="shared" si="106"/>
        <v>173.11856044514323</v>
      </c>
      <c r="ID33" s="2">
        <f t="shared" si="107"/>
        <v>95.632791267172422</v>
      </c>
      <c r="IE33" s="2">
        <f t="shared" si="108"/>
        <v>100.49312997167857</v>
      </c>
      <c r="IF33" s="2">
        <f t="shared" si="109"/>
        <v>97.375328083989501</v>
      </c>
      <c r="IG33" s="2">
        <f t="shared" si="110"/>
        <v>153.1545412093727</v>
      </c>
      <c r="IH33" s="2">
        <f t="shared" si="185"/>
        <v>98.213706627129824</v>
      </c>
      <c r="II33" s="2">
        <f t="shared" si="111"/>
        <v>170.01105362197535</v>
      </c>
      <c r="IJ33" s="2">
        <f t="shared" si="112"/>
        <v>105.08461808612846</v>
      </c>
      <c r="IK33" s="2">
        <f t="shared" si="113"/>
        <v>92.668621700879754</v>
      </c>
      <c r="IL33" s="2">
        <f t="shared" si="114"/>
        <v>57.759907554797763</v>
      </c>
      <c r="IM33" s="2">
        <f t="shared" si="186"/>
        <v>99.999999999999972</v>
      </c>
      <c r="IN33" s="159">
        <f t="shared" si="115"/>
        <v>160.97403946266178</v>
      </c>
      <c r="IO33" s="12">
        <f t="shared" si="116"/>
        <v>81.781640935979965</v>
      </c>
      <c r="IP33" s="12">
        <f t="shared" si="117"/>
        <v>90.565852782914192</v>
      </c>
      <c r="IQ33" s="12">
        <f t="shared" si="118"/>
        <v>87.824213784847913</v>
      </c>
      <c r="IR33" s="12">
        <f t="shared" si="119"/>
        <v>131.65915936536317</v>
      </c>
      <c r="IS33" s="12">
        <f t="shared" si="187"/>
        <v>93.122809191769989</v>
      </c>
      <c r="IT33" s="12">
        <f t="shared" si="120"/>
        <v>149.98085543880728</v>
      </c>
      <c r="IU33" s="12">
        <f t="shared" si="121"/>
        <v>110.73324278811666</v>
      </c>
      <c r="IV33" s="12">
        <f t="shared" si="122"/>
        <v>82.340799499599257</v>
      </c>
      <c r="IW33" s="12">
        <f t="shared" si="123"/>
        <v>62.191783867276605</v>
      </c>
      <c r="IX33" s="12">
        <f t="shared" si="188"/>
        <v>100</v>
      </c>
      <c r="IY33" s="160">
        <f t="shared" si="124"/>
        <v>139.27519170654014</v>
      </c>
      <c r="IZ33" s="25">
        <f t="shared" si="125"/>
        <v>81.58645396532134</v>
      </c>
      <c r="JA33" s="25">
        <f t="shared" si="126"/>
        <v>89.930903709630954</v>
      </c>
      <c r="JB33" s="25">
        <f t="shared" si="127"/>
        <v>87.824213784847913</v>
      </c>
      <c r="JC33" s="25">
        <f t="shared" si="128"/>
        <v>131.65915936536317</v>
      </c>
      <c r="JD33" s="25" t="e">
        <f t="shared" si="189"/>
        <v>#DIV/0!</v>
      </c>
      <c r="JE33" s="25">
        <f t="shared" si="129"/>
        <v>0</v>
      </c>
      <c r="JF33" s="25">
        <f t="shared" si="130"/>
        <v>110.24819017315323</v>
      </c>
      <c r="JG33" s="25">
        <f t="shared" si="131"/>
        <v>83.71206344756223</v>
      </c>
      <c r="JH33" s="25" t="e">
        <f t="shared" si="132"/>
        <v>#DIV/0!</v>
      </c>
      <c r="JI33" s="25" t="e">
        <f t="shared" si="190"/>
        <v>#DIV/0!</v>
      </c>
    </row>
    <row r="34" spans="1:269" x14ac:dyDescent="0.35">
      <c r="A34" s="109">
        <v>2019</v>
      </c>
      <c r="B34" s="110">
        <v>1097245000000</v>
      </c>
      <c r="C34" s="3">
        <v>100</v>
      </c>
      <c r="D34" s="112">
        <f t="shared" ref="D34:D35" si="207">C34/100</f>
        <v>1</v>
      </c>
      <c r="E34" s="111">
        <f>B34/C34</f>
        <v>10972450000</v>
      </c>
      <c r="F34" s="113">
        <f t="shared" ref="F34" si="208">B34/D34</f>
        <v>1097245000000</v>
      </c>
      <c r="G34" s="114">
        <v>81541000000</v>
      </c>
      <c r="H34" s="110">
        <v>11383000000</v>
      </c>
      <c r="I34" s="110">
        <v>401012000000</v>
      </c>
      <c r="J34" s="110">
        <v>151778000000</v>
      </c>
      <c r="K34" s="3">
        <v>100</v>
      </c>
      <c r="L34" s="112">
        <f t="shared" ref="L34:L35" si="209">K34/100</f>
        <v>1</v>
      </c>
      <c r="M34" s="112">
        <f t="shared" ref="M34:M35" si="210">G34/K34</f>
        <v>815410000</v>
      </c>
      <c r="N34" s="112">
        <f>I34/K34</f>
        <v>4010120000</v>
      </c>
      <c r="O34" s="112">
        <f t="shared" si="139"/>
        <v>4010120000</v>
      </c>
      <c r="P34" s="112">
        <f t="shared" si="140"/>
        <v>81541000000</v>
      </c>
      <c r="Q34" s="112">
        <f t="shared" si="141"/>
        <v>11383000000</v>
      </c>
      <c r="R34" s="112">
        <f t="shared" si="142"/>
        <v>401012000000</v>
      </c>
      <c r="S34" s="115">
        <f>SUM(P34:R34)</f>
        <v>493936000000</v>
      </c>
      <c r="T34" s="112">
        <f t="shared" si="144"/>
        <v>1517780000</v>
      </c>
      <c r="U34" s="115">
        <f t="shared" si="145"/>
        <v>151778000000</v>
      </c>
      <c r="V34" s="116">
        <f t="shared" si="146"/>
        <v>1742959000000</v>
      </c>
      <c r="W34" s="117">
        <f t="shared" si="147"/>
        <v>1742959000000</v>
      </c>
      <c r="X34" s="3">
        <v>94.212975</v>
      </c>
      <c r="Y34" s="112">
        <f t="shared" ref="Y34:Y35" si="211">X34/100</f>
        <v>0.94212974999999999</v>
      </c>
      <c r="Z34" s="112">
        <f>W34/Y34</f>
        <v>1850020127270.1558</v>
      </c>
      <c r="AA34" s="162">
        <v>0.26700000000000002</v>
      </c>
      <c r="AB34" s="162">
        <v>0.34300000000000003</v>
      </c>
      <c r="AC34" s="115">
        <f t="shared" ref="AC34:AC35" si="212">AA34+AB34</f>
        <v>0.6100000000000001</v>
      </c>
      <c r="AD34" s="118">
        <v>0.27426446956032702</v>
      </c>
      <c r="AE34" s="115">
        <f>AC34+AD34</f>
        <v>0.88426446956032712</v>
      </c>
      <c r="AF34" s="115">
        <f>1-AD34-AC34</f>
        <v>0.11573553043967288</v>
      </c>
      <c r="AJ34" s="162">
        <v>2023000</v>
      </c>
      <c r="AK34" s="163">
        <v>27374000</v>
      </c>
      <c r="AL34" s="121">
        <f t="shared" ref="AL34:AL35" si="213">AJ34+AK34</f>
        <v>29397000</v>
      </c>
      <c r="AM34" s="4">
        <v>0.18002562999999999</v>
      </c>
      <c r="AN34" s="123">
        <f t="shared" ref="AN34:AN35" si="214">AK34*AM34</f>
        <v>4928021.5956199998</v>
      </c>
      <c r="AO34" s="124">
        <f t="shared" ref="AO34:AO35" si="215">1-AM34</f>
        <v>0.81997436999999995</v>
      </c>
      <c r="AP34" s="123">
        <f t="shared" ref="AP34:AP35" si="216">AK34*AO34</f>
        <v>22445978.404379997</v>
      </c>
      <c r="AQ34" s="162">
        <v>0.48517981999999998</v>
      </c>
      <c r="AR34" s="123">
        <f t="shared" ref="AR34:AR35" si="217">AP34*AQ34</f>
        <v>10890335.761960974</v>
      </c>
      <c r="AS34" s="123">
        <f t="shared" ref="AS34:AS35" si="218">AP34*(1-AQ34)</f>
        <v>11555642.642419025</v>
      </c>
      <c r="AT34" s="115">
        <f t="shared" ref="AT34:AT35" si="219">(F34*AA34)/(AR34*52)</f>
        <v>517.33309062620037</v>
      </c>
      <c r="AU34" s="162">
        <v>0.71150442000000003</v>
      </c>
      <c r="AV34" s="123">
        <f>AN34*AU34</f>
        <v>3506309.1471390827</v>
      </c>
      <c r="AW34" s="123">
        <f>AN34*(1-AU34)</f>
        <v>1421712.4484809171</v>
      </c>
      <c r="AX34" s="127">
        <f>AR34+AV34</f>
        <v>14396644.909100056</v>
      </c>
      <c r="AY34" s="127">
        <f>AS34+AW34</f>
        <v>12977355.090899942</v>
      </c>
      <c r="AZ34" s="16">
        <f>AN34*AU34*AT34*52</f>
        <v>94324346884.579681</v>
      </c>
      <c r="BA34" s="16">
        <f t="shared" si="3"/>
        <v>57453653115.420319</v>
      </c>
      <c r="BB34" s="16">
        <f t="shared" si="4"/>
        <v>292964415000</v>
      </c>
      <c r="BC34" s="16">
        <f t="shared" ref="BC34:BC35" si="220">F34*AB34</f>
        <v>376355035000</v>
      </c>
      <c r="BD34" s="17">
        <f>F34*AD34</f>
        <v>300935317902.72101</v>
      </c>
      <c r="BE34" s="16">
        <f>SUM(BB34:BD34)</f>
        <v>970254767902.72095</v>
      </c>
      <c r="BF34" s="117">
        <v>1097245000000</v>
      </c>
      <c r="BG34" s="116">
        <f t="shared" ref="BG34:BG35" si="221">BE34/BF34</f>
        <v>0.884264469560327</v>
      </c>
      <c r="BH34" s="115">
        <v>0.884264469560327</v>
      </c>
      <c r="BI34" s="164">
        <v>7483857.9900000002</v>
      </c>
      <c r="BJ34" s="7">
        <f t="shared" ref="BJ34:BJ35" si="222">BF34*BH34</f>
        <v>970254767902.72095</v>
      </c>
      <c r="BK34" s="16">
        <f t="shared" ref="BK34" si="223">BB34+AZ34</f>
        <v>387288761884.57971</v>
      </c>
      <c r="BL34" s="112">
        <f t="shared" ref="BL34:BL35" si="224">BF34/AL34</f>
        <v>37325.067183726227</v>
      </c>
      <c r="BM34" s="112">
        <f t="shared" ref="BM34:BM35" si="225">BJ34/AL34</f>
        <v>33005.230734521239</v>
      </c>
      <c r="BN34" s="115">
        <f t="shared" ref="BN34" si="226">BK34/AX34</f>
        <v>26901.320712562425</v>
      </c>
      <c r="BO34" s="112">
        <f t="shared" ref="BO34:BQ35" si="227">BL34/52</f>
        <v>717.78975353319663</v>
      </c>
      <c r="BP34" s="112">
        <f t="shared" si="227"/>
        <v>634.71597566387004</v>
      </c>
      <c r="BQ34" s="115">
        <f>BN34/52</f>
        <v>517.33309062620049</v>
      </c>
      <c r="BR34" s="112">
        <f t="shared" ref="BR34:BR35" si="228">V34-BF34</f>
        <v>645714000000</v>
      </c>
      <c r="BS34" s="115">
        <f t="shared" ref="BS34:BS35" si="229">V34-BK34</f>
        <v>1355670238115.4204</v>
      </c>
      <c r="BT34" s="112">
        <f>S34+U34</f>
        <v>645714000000</v>
      </c>
      <c r="BU34" s="115">
        <f t="shared" ref="BU34:BU35" si="230">S34+BA34+BC34</f>
        <v>927744688115.42029</v>
      </c>
      <c r="BV34" s="118">
        <f t="shared" ref="BV34:BV35" si="231">S34+BA34+BC34+BD34</f>
        <v>1228680006018.1414</v>
      </c>
      <c r="BW34" s="112">
        <f>V34/AL34</f>
        <v>59290.369765622345</v>
      </c>
      <c r="BX34" s="115">
        <f>V34/AX34</f>
        <v>121067.02714451776</v>
      </c>
      <c r="BY34" s="128">
        <f t="shared" si="17"/>
        <v>0</v>
      </c>
      <c r="BZ34" s="119">
        <f t="shared" si="18"/>
        <v>0</v>
      </c>
      <c r="CA34" s="9">
        <v>37.200000000000003</v>
      </c>
      <c r="CB34" s="9">
        <v>16.3</v>
      </c>
      <c r="CC34" s="9">
        <v>9.8000000000000007</v>
      </c>
      <c r="CD34" s="9">
        <v>20663667.307459209</v>
      </c>
      <c r="CE34" s="9">
        <v>6997291.6080409708</v>
      </c>
      <c r="CF34" s="9">
        <v>1138479.8575020381</v>
      </c>
      <c r="CG34" s="113">
        <f t="shared" si="165"/>
        <v>28799438.773002218</v>
      </c>
      <c r="CH34" s="9">
        <v>29397000</v>
      </c>
      <c r="CI34" s="113">
        <f t="shared" si="166"/>
        <v>597561.22699778154</v>
      </c>
      <c r="CJ34" s="122">
        <f t="shared" si="167"/>
        <v>0.71750243018034721</v>
      </c>
      <c r="CK34" s="122">
        <f t="shared" si="168"/>
        <v>0.242966248863173</v>
      </c>
      <c r="CL34" s="122">
        <f t="shared" si="169"/>
        <v>3.9531320956479751E-2</v>
      </c>
      <c r="CM34" s="129">
        <f t="shared" si="19"/>
        <v>31.038847204552141</v>
      </c>
      <c r="CN34" s="19">
        <v>1052008073.821215</v>
      </c>
      <c r="CO34" s="16">
        <f t="shared" si="20"/>
        <v>893901379.6520704</v>
      </c>
      <c r="CP34" s="10">
        <v>31.62</v>
      </c>
      <c r="CQ34" s="131">
        <f>2*CM34-CP34</f>
        <v>30.457694409104281</v>
      </c>
      <c r="CR34" s="20">
        <v>33.01</v>
      </c>
      <c r="CS34" s="9">
        <v>33.159999999999997</v>
      </c>
      <c r="CT34" s="5">
        <f t="shared" si="21"/>
        <v>33.046532565426993</v>
      </c>
      <c r="CU34" s="5">
        <v>32.86</v>
      </c>
      <c r="CV34" s="5">
        <v>33.97</v>
      </c>
      <c r="CX34" s="134">
        <v>34.28</v>
      </c>
      <c r="CY34" s="5">
        <f t="shared" si="193"/>
        <v>32.797973522856758</v>
      </c>
      <c r="CZ34" s="5">
        <f t="shared" si="170"/>
        <v>33.049108991860585</v>
      </c>
      <c r="DA34" s="5">
        <f t="shared" si="194"/>
        <v>32.980881700039106</v>
      </c>
      <c r="DB34" s="117">
        <f t="shared" si="171"/>
        <v>1718.5536675767505</v>
      </c>
      <c r="DC34" s="135">
        <f t="shared" si="171"/>
        <v>1715.0058484020335</v>
      </c>
      <c r="DD34" s="5">
        <f t="shared" si="22"/>
        <v>1718.4196934022036</v>
      </c>
      <c r="DE34" s="131">
        <f t="shared" si="23"/>
        <v>438901322.49630868</v>
      </c>
      <c r="DF34" s="5">
        <f t="shared" si="24"/>
        <v>359489983.50233173</v>
      </c>
      <c r="DG34" s="131">
        <f t="shared" si="25"/>
        <v>643638127.6120863</v>
      </c>
      <c r="DH34" s="5">
        <f t="shared" si="26"/>
        <v>116269211.31913197</v>
      </c>
      <c r="DI34" s="7">
        <f t="shared" si="195"/>
        <v>971544657.03372562</v>
      </c>
      <c r="DJ34" s="136">
        <f t="shared" si="172"/>
        <v>1397543592.3684208</v>
      </c>
      <c r="DK34" s="16">
        <f t="shared" si="27"/>
        <v>475759194.8214637</v>
      </c>
      <c r="DL34" s="7">
        <f t="shared" si="196"/>
        <v>50520322165.753731</v>
      </c>
      <c r="DM34" s="136">
        <f t="shared" si="196"/>
        <v>72672266803.157883</v>
      </c>
      <c r="DN34" s="16">
        <f t="shared" si="173"/>
        <v>24739478130.716114</v>
      </c>
      <c r="DO34" s="117">
        <f t="shared" si="197"/>
        <v>1718.5536675767503</v>
      </c>
      <c r="DP34" s="135">
        <f t="shared" si="198"/>
        <v>1715.0058484020335</v>
      </c>
      <c r="DQ34" s="5">
        <f t="shared" si="28"/>
        <v>1718.4196934022036</v>
      </c>
      <c r="DR34" s="117">
        <f t="shared" si="29"/>
        <v>34.500156081377916</v>
      </c>
      <c r="DS34" s="135">
        <f t="shared" si="199"/>
        <v>23.983825972031767</v>
      </c>
      <c r="DT34" s="5">
        <f t="shared" si="30"/>
        <v>70.452537066090002</v>
      </c>
      <c r="DU34" s="137">
        <f t="shared" si="31"/>
        <v>30.50726221704813</v>
      </c>
      <c r="DV34" s="138">
        <f t="shared" si="32"/>
        <v>53.155262332202433</v>
      </c>
      <c r="DW34" s="130">
        <f t="shared" si="33"/>
        <v>65.319436382789405</v>
      </c>
      <c r="EB34" s="130">
        <v>56.183612334418299</v>
      </c>
      <c r="EC34" s="139">
        <f t="shared" si="35"/>
        <v>0.58848661875880048</v>
      </c>
      <c r="ED34" s="140">
        <f t="shared" si="36"/>
        <v>3.5004120220752468</v>
      </c>
      <c r="EE34" s="139">
        <f t="shared" si="37"/>
        <v>0.58848661875880048</v>
      </c>
      <c r="EF34" s="141">
        <f t="shared" si="38"/>
        <v>3.172516548219166</v>
      </c>
      <c r="EG34" s="142">
        <f t="shared" si="39"/>
        <v>2.3954856928998831</v>
      </c>
      <c r="EH34" s="117">
        <f t="shared" si="40"/>
        <v>20.805405976717793</v>
      </c>
      <c r="EI34" s="117">
        <f t="shared" si="41"/>
        <v>12.243703015142792</v>
      </c>
      <c r="EJ34" s="135">
        <f t="shared" si="42"/>
        <v>7.9043141756059372</v>
      </c>
      <c r="EK34" s="135">
        <f t="shared" si="43"/>
        <v>25.07656752443317</v>
      </c>
      <c r="EL34" s="143">
        <f t="shared" si="44"/>
        <v>9.7324905931804739</v>
      </c>
      <c r="EM34" s="143">
        <f t="shared" si="45"/>
        <v>23.314041972246521</v>
      </c>
      <c r="EN34" s="144">
        <f t="shared" si="46"/>
        <v>23.418516442440701</v>
      </c>
      <c r="EO34" s="145">
        <f t="shared" si="47"/>
        <v>13.781483557559302</v>
      </c>
      <c r="EP34" s="146">
        <f t="shared" si="48"/>
        <v>9.7324905931804739</v>
      </c>
      <c r="EQ34" s="134">
        <f t="shared" si="49"/>
        <v>23.314041972246521</v>
      </c>
      <c r="ER34" s="130">
        <f t="shared" si="50"/>
        <v>7.9200482930454248</v>
      </c>
      <c r="ES34" s="130">
        <f t="shared" si="51"/>
        <v>25.126484272381568</v>
      </c>
      <c r="ET34" s="117">
        <f t="shared" si="200"/>
        <v>8.5291089918605856</v>
      </c>
      <c r="EU34" s="135">
        <f t="shared" si="201"/>
        <v>23.490881700039104</v>
      </c>
      <c r="EV34" s="5">
        <f t="shared" si="52"/>
        <v>21.436532565426994</v>
      </c>
      <c r="EW34" s="145">
        <f t="shared" si="53"/>
        <v>12.740000000000002</v>
      </c>
      <c r="EX34" s="134">
        <f t="shared" si="54"/>
        <v>21.380532565426993</v>
      </c>
      <c r="EY34" s="130">
        <f t="shared" si="55"/>
        <v>23.576532565426994</v>
      </c>
      <c r="EZ34" s="117">
        <f t="shared" si="202"/>
        <v>34.784294420312342</v>
      </c>
      <c r="FA34" s="135">
        <f t="shared" si="203"/>
        <v>247.53300000041202</v>
      </c>
      <c r="FB34" s="5">
        <f>(EV34/11.61)*100</f>
        <v>184.63852338869074</v>
      </c>
      <c r="FC34" s="145">
        <f t="shared" si="56"/>
        <v>52.085036794766971</v>
      </c>
      <c r="FD34" s="134">
        <f t="shared" si="57"/>
        <v>183.27218039968278</v>
      </c>
      <c r="FE34" s="130">
        <f t="shared" si="58"/>
        <v>248.96021716395981</v>
      </c>
      <c r="FF34" s="117">
        <f t="shared" si="59"/>
        <v>19.205237146338483</v>
      </c>
      <c r="FG34" s="135">
        <f t="shared" si="175"/>
        <v>21.76381335288394</v>
      </c>
      <c r="FH34" s="5">
        <f t="shared" si="60"/>
        <v>15.65468599775064</v>
      </c>
      <c r="FI34" s="145">
        <f t="shared" si="61"/>
        <v>19.205237146338483</v>
      </c>
      <c r="FJ34" s="134">
        <f t="shared" si="62"/>
        <v>15.65468599775064</v>
      </c>
      <c r="FK34" s="145">
        <f t="shared" si="63"/>
        <v>21.718883668239762</v>
      </c>
      <c r="FL34" s="134">
        <f t="shared" si="64"/>
        <v>15.65468599775064</v>
      </c>
      <c r="FM34" s="130">
        <v>1</v>
      </c>
      <c r="FN34" s="165">
        <v>107.8</v>
      </c>
      <c r="FO34" s="147">
        <f t="shared" si="65"/>
        <v>3.1246235450565685</v>
      </c>
      <c r="FP34" s="148">
        <f t="shared" si="66"/>
        <v>4.4946957222633577</v>
      </c>
      <c r="FQ34" s="149">
        <f t="shared" si="67"/>
        <v>1.5301081336343523</v>
      </c>
      <c r="FR34" s="150">
        <f t="shared" si="68"/>
        <v>2.8985376113697298E-2</v>
      </c>
      <c r="FS34" s="151">
        <f t="shared" si="68"/>
        <v>4.1694765512647107E-2</v>
      </c>
      <c r="FT34" s="122">
        <f t="shared" si="68"/>
        <v>1.4193953002173954E-2</v>
      </c>
      <c r="FU34" s="152">
        <f t="shared" si="69"/>
        <v>1.0782559914295395</v>
      </c>
      <c r="FV34" s="140">
        <f t="shared" si="70"/>
        <v>0.62169823109699518</v>
      </c>
      <c r="FW34" s="153">
        <f t="shared" si="71"/>
        <v>0.50592188780940262</v>
      </c>
      <c r="FX34" s="152">
        <f t="shared" si="72"/>
        <v>1.4959429046232942</v>
      </c>
      <c r="FY34" s="140">
        <f t="shared" si="73"/>
        <v>0.46906093011848171</v>
      </c>
      <c r="FZ34" s="140">
        <f t="shared" ref="FZ34:GA35" si="232">FV34*52</f>
        <v>32.328308017043753</v>
      </c>
      <c r="GA34" s="153">
        <f t="shared" si="232"/>
        <v>26.307938166088935</v>
      </c>
      <c r="GB34" s="152">
        <f t="shared" si="74"/>
        <v>3.2779080367335553E-2</v>
      </c>
      <c r="GC34" s="154">
        <f t="shared" si="75"/>
        <v>1.4193953002173952E-2</v>
      </c>
      <c r="GD34" s="152">
        <f t="shared" si="76"/>
        <v>2.8985376113697302E-2</v>
      </c>
      <c r="GE34" s="154">
        <f t="shared" si="77"/>
        <v>1.8812812807701671E-2</v>
      </c>
      <c r="GF34" s="155">
        <f t="shared" si="78"/>
        <v>0.23966351923200904</v>
      </c>
      <c r="GG34" s="152">
        <f t="shared" si="79"/>
        <v>477.58161065893052</v>
      </c>
      <c r="GH34" s="134">
        <f t="shared" si="80"/>
        <v>33.046532565426993</v>
      </c>
      <c r="GI34" s="130">
        <f t="shared" si="81"/>
        <v>33.046532565426993</v>
      </c>
      <c r="GJ34" s="152">
        <f t="shared" ref="GJ34:GN35" si="233">GB34*DX34</f>
        <v>0</v>
      </c>
      <c r="GK34" s="154">
        <f t="shared" si="233"/>
        <v>0</v>
      </c>
      <c r="GL34" s="152">
        <f t="shared" si="233"/>
        <v>0</v>
      </c>
      <c r="GM34" s="154">
        <f t="shared" si="233"/>
        <v>0</v>
      </c>
      <c r="GN34" s="154">
        <f t="shared" si="233"/>
        <v>13.465162255233601</v>
      </c>
      <c r="GO34" s="112">
        <f t="shared" ref="GO34:GQ35" si="234">FF34/DR34</f>
        <v>0.55667102203937147</v>
      </c>
      <c r="GP34" s="156">
        <f t="shared" si="234"/>
        <v>0.90743709440951381</v>
      </c>
      <c r="GQ34" s="115">
        <f>FH34/DT34</f>
        <v>0.22220187731586327</v>
      </c>
      <c r="GR34" s="117">
        <f t="shared" si="204"/>
        <v>381.86585120361593</v>
      </c>
      <c r="GS34" s="135">
        <f t="shared" si="178"/>
        <v>1556.2599239692645</v>
      </c>
      <c r="GT34" s="5">
        <f t="shared" si="178"/>
        <v>381.83608189051984</v>
      </c>
      <c r="GU34" s="130">
        <f t="shared" si="83"/>
        <v>411.84251123836214</v>
      </c>
      <c r="GV34" s="145" t="e">
        <f t="shared" si="84"/>
        <v>#DIV/0!</v>
      </c>
      <c r="GW34" s="134" t="e">
        <f t="shared" si="85"/>
        <v>#DIV/0!</v>
      </c>
      <c r="GX34" s="157">
        <f t="shared" si="179"/>
        <v>0.62953001189356728</v>
      </c>
      <c r="GY34" s="154">
        <f t="shared" ref="GY34:HA35" si="235">FJ34*GC34</f>
        <v>0.22220187731586324</v>
      </c>
      <c r="GZ34" s="157">
        <f t="shared" si="235"/>
        <v>0.62953001189356728</v>
      </c>
      <c r="HA34" s="154">
        <f t="shared" si="235"/>
        <v>0.29450867723903124</v>
      </c>
    </row>
    <row r="35" spans="1:269" x14ac:dyDescent="0.35">
      <c r="A35" s="109">
        <v>2020</v>
      </c>
      <c r="B35" s="110">
        <v>1126046000000</v>
      </c>
      <c r="C35" s="3">
        <v>113.6</v>
      </c>
      <c r="D35" s="112">
        <f t="shared" si="207"/>
        <v>1.1359999999999999</v>
      </c>
      <c r="E35" s="111">
        <f>B35/C35</f>
        <v>9912376760.5633812</v>
      </c>
      <c r="F35" s="113">
        <f>B35/D35</f>
        <v>991237676056.33813</v>
      </c>
      <c r="G35" s="114">
        <v>81920000000</v>
      </c>
      <c r="H35" s="110">
        <v>10405000000</v>
      </c>
      <c r="I35" s="110">
        <v>396829000000</v>
      </c>
      <c r="J35" s="110">
        <v>145517000000</v>
      </c>
      <c r="K35" s="3">
        <v>109.2</v>
      </c>
      <c r="L35" s="112">
        <f t="shared" si="209"/>
        <v>1.0920000000000001</v>
      </c>
      <c r="M35" s="112">
        <f t="shared" si="210"/>
        <v>750183150.18315017</v>
      </c>
      <c r="N35" s="112">
        <f t="shared" ref="N35" si="236">I35/K35</f>
        <v>3633965201.4652014</v>
      </c>
      <c r="O35" s="112">
        <f t="shared" si="139"/>
        <v>3633965201.4652014</v>
      </c>
      <c r="P35" s="112">
        <f t="shared" si="140"/>
        <v>75018315018.315018</v>
      </c>
      <c r="Q35" s="112">
        <f t="shared" si="141"/>
        <v>9528388278.3882771</v>
      </c>
      <c r="R35" s="112">
        <f t="shared" si="142"/>
        <v>363396520146.52014</v>
      </c>
      <c r="S35" s="115">
        <f>SUM(P35:R35)</f>
        <v>447943223443.22345</v>
      </c>
      <c r="T35" s="112">
        <f>J35/K35</f>
        <v>1332573260.0732601</v>
      </c>
      <c r="U35" s="115">
        <f t="shared" si="145"/>
        <v>133257326007.326</v>
      </c>
      <c r="V35" s="116">
        <f t="shared" si="146"/>
        <v>1572438225506.8875</v>
      </c>
      <c r="W35" s="117">
        <f t="shared" si="147"/>
        <v>1760717000000</v>
      </c>
      <c r="X35" s="3">
        <v>99.225200000000001</v>
      </c>
      <c r="Y35" s="112">
        <f t="shared" si="211"/>
        <v>0.99225200000000002</v>
      </c>
      <c r="Z35" s="112">
        <f t="shared" si="149"/>
        <v>1774465559152.312</v>
      </c>
      <c r="AA35" s="162">
        <v>0.29399999999999998</v>
      </c>
      <c r="AB35" s="162">
        <v>0.35499999999999998</v>
      </c>
      <c r="AC35" s="115">
        <f t="shared" si="212"/>
        <v>0.64900000000000002</v>
      </c>
      <c r="AD35" s="118">
        <v>0.25267231754966213</v>
      </c>
      <c r="AE35" s="115">
        <f>AC35+AD35</f>
        <v>0.90167231754966215</v>
      </c>
      <c r="AF35" s="115">
        <f t="shared" ref="AF35" si="237">1-AD35-AC35</f>
        <v>9.832768245033785E-2</v>
      </c>
      <c r="AJ35" s="162">
        <v>2002000</v>
      </c>
      <c r="AK35" s="163">
        <v>26981000</v>
      </c>
      <c r="AL35" s="121">
        <f t="shared" si="213"/>
        <v>28983000</v>
      </c>
      <c r="AM35" s="4">
        <v>0.16755175</v>
      </c>
      <c r="AN35" s="123">
        <f t="shared" si="214"/>
        <v>4520713.7667500004</v>
      </c>
      <c r="AO35" s="124">
        <f t="shared" si="215"/>
        <v>0.83244825</v>
      </c>
      <c r="AP35" s="123">
        <f t="shared" si="216"/>
        <v>22460286.23325</v>
      </c>
      <c r="AQ35" s="162">
        <v>0.50173160100000003</v>
      </c>
      <c r="AR35" s="123">
        <f t="shared" si="217"/>
        <v>11269035.370726783</v>
      </c>
      <c r="AS35" s="123">
        <f t="shared" si="218"/>
        <v>11191250.862523217</v>
      </c>
      <c r="AT35" s="115">
        <f t="shared" si="219"/>
        <v>497.31899297047681</v>
      </c>
      <c r="AU35" s="162">
        <v>0.72573839600000001</v>
      </c>
      <c r="AV35" s="123">
        <f t="shared" ref="AV35" si="238">AN35*AU35</f>
        <v>3280855.5578562636</v>
      </c>
      <c r="AW35" s="123">
        <f t="shared" ref="AW35" si="239">AN35*(1-AU35)</f>
        <v>1239858.2088937371</v>
      </c>
      <c r="AX35" s="127">
        <f t="shared" ref="AX35:AY35" si="240">AR35+AV35</f>
        <v>14549890.928583046</v>
      </c>
      <c r="AY35" s="127">
        <f t="shared" si="240"/>
        <v>12431109.071416954</v>
      </c>
      <c r="AZ35" s="16">
        <f t="shared" ref="AZ35" si="241">AN35*AU35*AT35*52</f>
        <v>84844852669.962784</v>
      </c>
      <c r="BA35" s="16">
        <f t="shared" si="3"/>
        <v>48412473337.36322</v>
      </c>
      <c r="BB35" s="16">
        <f>F35*AA35</f>
        <v>291423876760.56342</v>
      </c>
      <c r="BC35" s="16">
        <f t="shared" si="220"/>
        <v>351889375000</v>
      </c>
      <c r="BD35" s="17">
        <f t="shared" ref="BD35" si="242">F35*AD35</f>
        <v>250458320851.6962</v>
      </c>
      <c r="BE35" s="16">
        <f>SUM(BB35:BD35)</f>
        <v>893771572612.25964</v>
      </c>
      <c r="BF35" s="117">
        <v>991237676056.33813</v>
      </c>
      <c r="BG35" s="116">
        <f t="shared" si="221"/>
        <v>0.90167231754966215</v>
      </c>
      <c r="BH35" s="115">
        <v>0.90167231754966215</v>
      </c>
      <c r="BI35" s="164">
        <v>6251382.9699999997</v>
      </c>
      <c r="BJ35" s="7">
        <f t="shared" si="222"/>
        <v>893771572612.25964</v>
      </c>
      <c r="BK35" s="16">
        <f>BB35+AZ35</f>
        <v>376268729430.52618</v>
      </c>
      <c r="BL35" s="112">
        <f t="shared" si="224"/>
        <v>34200.658180876315</v>
      </c>
      <c r="BM35" s="112">
        <f t="shared" si="225"/>
        <v>30837.786723674555</v>
      </c>
      <c r="BN35" s="115">
        <f>BK35/AX35</f>
        <v>25860.587634464791</v>
      </c>
      <c r="BO35" s="112">
        <f>BL35/52</f>
        <v>657.70496501685216</v>
      </c>
      <c r="BP35" s="112">
        <f t="shared" si="227"/>
        <v>593.03436007066455</v>
      </c>
      <c r="BQ35" s="115">
        <f t="shared" si="227"/>
        <v>497.31899297047676</v>
      </c>
      <c r="BR35" s="112">
        <f t="shared" si="228"/>
        <v>581200549450.54932</v>
      </c>
      <c r="BS35" s="115">
        <f t="shared" si="229"/>
        <v>1196169496076.3613</v>
      </c>
      <c r="BT35" s="112">
        <f t="shared" ref="BT35" si="243">S35+U35</f>
        <v>581200549450.54944</v>
      </c>
      <c r="BU35" s="115">
        <f t="shared" si="230"/>
        <v>848245071780.58667</v>
      </c>
      <c r="BV35" s="118">
        <f t="shared" si="231"/>
        <v>1098703392632.2828</v>
      </c>
      <c r="BW35" s="112">
        <f t="shared" ref="BW35" si="244">V35/AL35</f>
        <v>54253.811734702671</v>
      </c>
      <c r="BX35" s="115">
        <f t="shared" ref="BX35" si="245">V35/AX35</f>
        <v>108072.16584818899</v>
      </c>
      <c r="BY35" s="128">
        <f t="shared" si="17"/>
        <v>0</v>
      </c>
      <c r="BZ35" s="41">
        <v>1546452949390.0891</v>
      </c>
      <c r="CA35" s="9">
        <v>33.700000000000003</v>
      </c>
      <c r="CB35" s="9">
        <v>14</v>
      </c>
      <c r="CC35" s="9">
        <v>9.4</v>
      </c>
      <c r="CD35" s="9">
        <v>20992731.071759075</v>
      </c>
      <c r="CE35" s="9">
        <v>6766720.1548078461</v>
      </c>
      <c r="CF35" s="9">
        <v>1119590.2424833607</v>
      </c>
      <c r="CG35" s="113">
        <f t="shared" si="165"/>
        <v>28879041.469050281</v>
      </c>
      <c r="CH35" s="9">
        <v>28983000</v>
      </c>
      <c r="CI35" s="113">
        <f>CH35-CG35</f>
        <v>103958.53094971925</v>
      </c>
      <c r="CJ35" s="122">
        <f t="shared" si="167"/>
        <v>0.7269192467574459</v>
      </c>
      <c r="CK35" s="122">
        <f t="shared" si="168"/>
        <v>0.23431249136366772</v>
      </c>
      <c r="CL35" s="122">
        <f t="shared" si="169"/>
        <v>3.8768261878886372E-2</v>
      </c>
      <c r="CM35" s="129">
        <f t="shared" si="19"/>
        <v>28.141975156478811</v>
      </c>
      <c r="CN35" s="19">
        <v>947001554.93862391</v>
      </c>
      <c r="CO35" s="16">
        <f t="shared" si="20"/>
        <v>812713267.56493437</v>
      </c>
      <c r="CP35" s="10">
        <v>31.78</v>
      </c>
      <c r="CQ35" s="131">
        <f>2*CM35-CP35</f>
        <v>24.50395031295762</v>
      </c>
      <c r="CR35" s="20">
        <v>32.68</v>
      </c>
      <c r="CS35" s="9">
        <v>31.89</v>
      </c>
      <c r="CT35" s="5">
        <f t="shared" si="21"/>
        <v>32.501862864578953</v>
      </c>
      <c r="CU35" s="5">
        <v>33.03</v>
      </c>
      <c r="CV35" s="5">
        <v>34.89</v>
      </c>
      <c r="CX35" s="134">
        <v>34.119999999999997</v>
      </c>
      <c r="CY35" s="5">
        <f t="shared" si="193"/>
        <v>33.016394911138967</v>
      </c>
      <c r="CZ35" s="5">
        <f t="shared" si="170"/>
        <v>32.599731478537514</v>
      </c>
      <c r="DA35" s="5">
        <f t="shared" si="194"/>
        <v>32.560104828180208</v>
      </c>
      <c r="DB35" s="117">
        <f t="shared" si="171"/>
        <v>1695.1860368839507</v>
      </c>
      <c r="DC35" s="135">
        <f t="shared" si="171"/>
        <v>1693.1254510653707</v>
      </c>
      <c r="DD35" s="5">
        <f t="shared" si="22"/>
        <v>1690.0968689581055</v>
      </c>
      <c r="DE35" s="131">
        <f t="shared" si="23"/>
        <v>439984878.6221264</v>
      </c>
      <c r="DF35" s="5">
        <f t="shared" si="24"/>
        <v>368272075.91535127</v>
      </c>
      <c r="DG35" s="131">
        <f t="shared" si="25"/>
        <v>636423776.05686569</v>
      </c>
      <c r="DH35" s="5">
        <f t="shared" si="26"/>
        <v>104626483.74003625</v>
      </c>
      <c r="DI35" s="7">
        <f t="shared" si="195"/>
        <v>944838017.44245279</v>
      </c>
      <c r="DJ35" s="136">
        <f t="shared" si="172"/>
        <v>1348447732.731025</v>
      </c>
      <c r="DK35" s="16">
        <f t="shared" si="27"/>
        <v>472898559.65538752</v>
      </c>
      <c r="DL35" s="7">
        <f t="shared" si="196"/>
        <v>49131576907.007545</v>
      </c>
      <c r="DM35" s="136">
        <f t="shared" si="196"/>
        <v>70119282102.013306</v>
      </c>
      <c r="DN35" s="16">
        <f t="shared" si="173"/>
        <v>24590725102.080151</v>
      </c>
      <c r="DO35" s="117">
        <f t="shared" si="197"/>
        <v>1695.1860368839507</v>
      </c>
      <c r="DP35" s="135">
        <f t="shared" si="198"/>
        <v>1693.1254510653712</v>
      </c>
      <c r="DQ35" s="5">
        <f t="shared" si="28"/>
        <v>1690.0968689581057</v>
      </c>
      <c r="DR35" s="117">
        <f t="shared" si="29"/>
        <v>32.004635806480977</v>
      </c>
      <c r="DS35" s="135">
        <f t="shared" si="199"/>
        <v>22.425190024324831</v>
      </c>
      <c r="DT35" s="5">
        <f t="shared" si="30"/>
        <v>63.944361907972919</v>
      </c>
      <c r="DU35" s="137">
        <f t="shared" si="31"/>
        <v>28.857694139962604</v>
      </c>
      <c r="DV35" s="138">
        <f t="shared" si="32"/>
        <v>49.795758202653815</v>
      </c>
      <c r="DW35" s="130">
        <f t="shared" si="33"/>
        <v>59.980830818935054</v>
      </c>
      <c r="EB35" s="130">
        <v>56.183612334418299</v>
      </c>
      <c r="EC35" s="139">
        <f t="shared" si="35"/>
        <v>0.58633823500622884</v>
      </c>
      <c r="ED35" s="140">
        <f t="shared" si="36"/>
        <v>3.1790297798244769</v>
      </c>
      <c r="EE35" s="139">
        <f t="shared" si="37"/>
        <v>0.58633823500622895</v>
      </c>
      <c r="EF35" s="141">
        <f t="shared" si="38"/>
        <v>2.9199965521853075</v>
      </c>
      <c r="EG35" s="142">
        <f t="shared" si="39"/>
        <v>2.2543597313132704</v>
      </c>
      <c r="EH35" s="117">
        <f t="shared" si="40"/>
        <v>20.550303055898738</v>
      </c>
      <c r="EI35" s="117">
        <f t="shared" si="41"/>
        <v>12.049428422638776</v>
      </c>
      <c r="EJ35" s="135">
        <f t="shared" si="42"/>
        <v>8.3061564964970955</v>
      </c>
      <c r="EK35" s="135">
        <f t="shared" si="43"/>
        <v>24.253948331683112</v>
      </c>
      <c r="EL35" s="143">
        <f t="shared" si="44"/>
        <v>9.9871758342655905</v>
      </c>
      <c r="EM35" s="143">
        <f t="shared" si="45"/>
        <v>22.514687030313361</v>
      </c>
      <c r="EN35" s="144">
        <f t="shared" si="46"/>
        <v>21.24389317254758</v>
      </c>
      <c r="EO35" s="145">
        <f t="shared" si="47"/>
        <v>12.456106827452423</v>
      </c>
      <c r="EP35" s="146">
        <f t="shared" si="48"/>
        <v>9.9871758342655905</v>
      </c>
      <c r="EQ35" s="134">
        <f t="shared" si="49"/>
        <v>22.514687030313361</v>
      </c>
      <c r="ER35" s="130">
        <f t="shared" si="50"/>
        <v>8.2912988396532938</v>
      </c>
      <c r="ES35" s="130">
        <f t="shared" si="51"/>
        <v>24.21056402492566</v>
      </c>
      <c r="ET35" s="117">
        <f t="shared" si="200"/>
        <v>8.0797314785375143</v>
      </c>
      <c r="EU35" s="135">
        <f t="shared" si="201"/>
        <v>23.070104828180206</v>
      </c>
      <c r="EV35" s="5">
        <f t="shared" si="52"/>
        <v>20.891862864578954</v>
      </c>
      <c r="EW35" s="145">
        <f t="shared" si="53"/>
        <v>9.240000000000002</v>
      </c>
      <c r="EX35" s="134">
        <f t="shared" si="54"/>
        <v>20.835862864578953</v>
      </c>
      <c r="EY35" s="130">
        <f t="shared" si="55"/>
        <v>23.031862864578954</v>
      </c>
      <c r="EZ35" s="117">
        <f t="shared" si="202"/>
        <v>32.951596568260662</v>
      </c>
      <c r="FA35" s="135">
        <f t="shared" si="203"/>
        <v>243.09910250980192</v>
      </c>
      <c r="FB35" s="5">
        <f t="shared" si="174"/>
        <v>179.9471392297929</v>
      </c>
      <c r="FC35" s="145">
        <f t="shared" si="56"/>
        <v>37.775960752248579</v>
      </c>
      <c r="FD35" s="134">
        <f t="shared" si="57"/>
        <v>178.60331617160082</v>
      </c>
      <c r="FE35" s="130">
        <f t="shared" si="58"/>
        <v>243.20868917190026</v>
      </c>
      <c r="FF35" s="117">
        <f t="shared" si="59"/>
        <v>18.19138787879578</v>
      </c>
      <c r="FG35" s="135">
        <f t="shared" si="175"/>
        <v>20.199718904087188</v>
      </c>
      <c r="FH35" s="5">
        <f t="shared" si="60"/>
        <v>15.301245809896727</v>
      </c>
      <c r="FI35" s="145">
        <f t="shared" si="61"/>
        <v>18.19138787879578</v>
      </c>
      <c r="FJ35" s="134">
        <f t="shared" si="62"/>
        <v>15.301245809896727</v>
      </c>
      <c r="FK35" s="145">
        <f t="shared" si="63"/>
        <v>20.175165106800382</v>
      </c>
      <c r="FL35" s="134">
        <f t="shared" si="64"/>
        <v>15.301245809896727</v>
      </c>
      <c r="FM35" s="130">
        <v>2</v>
      </c>
      <c r="FN35" s="165">
        <v>108.7</v>
      </c>
      <c r="FO35" s="147">
        <f t="shared" si="65"/>
        <v>3.3963829695568077</v>
      </c>
      <c r="FP35" s="148">
        <f t="shared" si="66"/>
        <v>4.8472275990567759</v>
      </c>
      <c r="FQ35" s="149">
        <f t="shared" si="67"/>
        <v>1.699915313197405</v>
      </c>
      <c r="FR35" s="150">
        <f t="shared" si="68"/>
        <v>3.1245473500982592E-2</v>
      </c>
      <c r="FS35" s="151">
        <f t="shared" si="68"/>
        <v>4.4592710202914214E-2</v>
      </c>
      <c r="FT35" s="122">
        <f t="shared" si="68"/>
        <v>1.5638595337602621E-2</v>
      </c>
      <c r="FU35" s="152">
        <f t="shared" si="69"/>
        <v>1.0529724569831134</v>
      </c>
      <c r="FV35" s="140">
        <f t="shared" si="70"/>
        <v>0.65270344378141831</v>
      </c>
      <c r="FW35" s="153">
        <f t="shared" si="71"/>
        <v>0.54187083474539999</v>
      </c>
      <c r="FX35" s="152">
        <f t="shared" si="72"/>
        <v>1.3883767005956598</v>
      </c>
      <c r="FY35" s="140">
        <f t="shared" si="73"/>
        <v>0.50828348105740417</v>
      </c>
      <c r="FZ35" s="140">
        <f t="shared" si="232"/>
        <v>33.940579076633753</v>
      </c>
      <c r="GA35" s="153">
        <f t="shared" si="232"/>
        <v>28.1772834067608</v>
      </c>
      <c r="GB35" s="152">
        <f t="shared" si="74"/>
        <v>3.465280334422783E-2</v>
      </c>
      <c r="GC35" s="154">
        <f t="shared" si="75"/>
        <v>1.5638595337602621E-2</v>
      </c>
      <c r="GD35" s="152">
        <f t="shared" si="76"/>
        <v>3.1245473500982598E-2</v>
      </c>
      <c r="GE35" s="154">
        <f t="shared" si="77"/>
        <v>2.0082031805405985E-2</v>
      </c>
      <c r="GF35" s="155">
        <f t="shared" si="78"/>
        <v>0.12755113259506862</v>
      </c>
      <c r="GG35" s="152">
        <f t="shared" si="79"/>
        <v>441.5586715423841</v>
      </c>
      <c r="GH35" s="134">
        <f t="shared" si="80"/>
        <v>32.501862864578953</v>
      </c>
      <c r="GI35" s="130">
        <f t="shared" si="81"/>
        <v>32.501862864578953</v>
      </c>
      <c r="GJ35" s="152">
        <f t="shared" si="233"/>
        <v>0</v>
      </c>
      <c r="GK35" s="154">
        <f t="shared" si="233"/>
        <v>0</v>
      </c>
      <c r="GL35" s="152">
        <f t="shared" si="233"/>
        <v>0</v>
      </c>
      <c r="GM35" s="154">
        <f t="shared" si="233"/>
        <v>0</v>
      </c>
      <c r="GN35" s="154">
        <f t="shared" si="233"/>
        <v>7.1662833865373212</v>
      </c>
      <c r="GO35" s="112">
        <f t="shared" si="234"/>
        <v>0.56839852791300949</v>
      </c>
      <c r="GP35" s="156">
        <f t="shared" si="234"/>
        <v>0.90076021127028794</v>
      </c>
      <c r="GQ35" s="115">
        <f t="shared" si="234"/>
        <v>0.23928999138216261</v>
      </c>
      <c r="GR35" s="117">
        <f t="shared" si="204"/>
        <v>405.64105215712294</v>
      </c>
      <c r="GS35" s="135">
        <f t="shared" si="178"/>
        <v>1525.1000390087454</v>
      </c>
      <c r="GT35" s="5">
        <f t="shared" si="178"/>
        <v>404.42326520800515</v>
      </c>
      <c r="GU35" s="130">
        <f t="shared" si="83"/>
        <v>431.14753966197122</v>
      </c>
      <c r="GV35" s="145" t="e">
        <f t="shared" si="84"/>
        <v>#DIV/0!</v>
      </c>
      <c r="GW35" s="134" t="e">
        <f t="shared" si="85"/>
        <v>#DIV/0!</v>
      </c>
      <c r="GX35" s="157">
        <f t="shared" si="179"/>
        <v>0.63038258672248004</v>
      </c>
      <c r="GY35" s="154">
        <f t="shared" si="235"/>
        <v>0.23928999138216261</v>
      </c>
      <c r="GZ35" s="157">
        <f t="shared" si="235"/>
        <v>0.63038258672248004</v>
      </c>
      <c r="HA35" s="154">
        <f t="shared" si="235"/>
        <v>0.30728010501668113</v>
      </c>
    </row>
    <row r="36" spans="1:269" x14ac:dyDescent="0.35">
      <c r="DR36" s="117"/>
      <c r="DS36" s="135"/>
      <c r="FN36" s="1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8C99-10FF-477C-B43A-D2F48A30EB1D}">
  <dimension ref="A1:GO30"/>
  <sheetViews>
    <sheetView workbookViewId="0">
      <selection activeCell="F12" sqref="F12"/>
    </sheetView>
  </sheetViews>
  <sheetFormatPr defaultRowHeight="14.5" x14ac:dyDescent="0.35"/>
  <sheetData>
    <row r="1" spans="1:197" x14ac:dyDescent="0.35">
      <c r="A1" t="s">
        <v>289</v>
      </c>
      <c r="B1" t="s">
        <v>290</v>
      </c>
      <c r="C1" t="s">
        <v>409</v>
      </c>
      <c r="D1" t="s">
        <v>292</v>
      </c>
      <c r="E1" t="s">
        <v>293</v>
      </c>
      <c r="F1" t="s">
        <v>294</v>
      </c>
      <c r="G1" t="s">
        <v>295</v>
      </c>
      <c r="H1" t="s">
        <v>296</v>
      </c>
      <c r="I1" t="s">
        <v>297</v>
      </c>
      <c r="J1" t="s">
        <v>298</v>
      </c>
      <c r="K1" t="s">
        <v>299</v>
      </c>
      <c r="L1" t="s">
        <v>300</v>
      </c>
      <c r="M1" t="s">
        <v>301</v>
      </c>
      <c r="N1" t="s">
        <v>302</v>
      </c>
      <c r="O1" t="s">
        <v>303</v>
      </c>
      <c r="P1" t="s">
        <v>304</v>
      </c>
      <c r="Q1" t="s">
        <v>305</v>
      </c>
      <c r="R1" t="s">
        <v>306</v>
      </c>
      <c r="S1" t="s">
        <v>307</v>
      </c>
      <c r="T1" t="s">
        <v>308</v>
      </c>
      <c r="U1" t="s">
        <v>309</v>
      </c>
      <c r="V1" t="s">
        <v>310</v>
      </c>
      <c r="W1" t="s">
        <v>311</v>
      </c>
      <c r="X1" t="s">
        <v>312</v>
      </c>
      <c r="Y1" t="s">
        <v>313</v>
      </c>
      <c r="Z1" t="s">
        <v>314</v>
      </c>
      <c r="AA1" t="s">
        <v>315</v>
      </c>
      <c r="AB1" t="s">
        <v>316</v>
      </c>
      <c r="AC1" t="s">
        <v>317</v>
      </c>
      <c r="AD1" t="s">
        <v>318</v>
      </c>
      <c r="AE1" t="s">
        <v>319</v>
      </c>
      <c r="AF1" t="s">
        <v>44</v>
      </c>
      <c r="AG1" t="s">
        <v>485</v>
      </c>
      <c r="AH1" t="s">
        <v>486</v>
      </c>
      <c r="AI1" t="s">
        <v>412</v>
      </c>
      <c r="AJ1" t="s">
        <v>324</v>
      </c>
      <c r="AK1" t="s">
        <v>487</v>
      </c>
      <c r="AL1" t="s">
        <v>326</v>
      </c>
      <c r="AM1" t="s">
        <v>488</v>
      </c>
      <c r="AN1" t="s">
        <v>328</v>
      </c>
      <c r="AO1" t="s">
        <v>489</v>
      </c>
      <c r="AP1" t="s">
        <v>490</v>
      </c>
      <c r="AQ1" t="s">
        <v>330</v>
      </c>
      <c r="AR1" t="s">
        <v>331</v>
      </c>
      <c r="AS1" t="s">
        <v>491</v>
      </c>
      <c r="AT1" t="s">
        <v>492</v>
      </c>
      <c r="AU1" t="s">
        <v>493</v>
      </c>
      <c r="AV1" t="s">
        <v>494</v>
      </c>
      <c r="AW1" t="s">
        <v>495</v>
      </c>
      <c r="AX1" t="s">
        <v>496</v>
      </c>
      <c r="AY1" t="s">
        <v>497</v>
      </c>
      <c r="AZ1" t="s">
        <v>498</v>
      </c>
      <c r="BA1" t="s">
        <v>499</v>
      </c>
      <c r="BB1" t="s">
        <v>426</v>
      </c>
      <c r="BC1" t="s">
        <v>294</v>
      </c>
      <c r="BD1" t="s">
        <v>319</v>
      </c>
      <c r="BE1" t="s">
        <v>319</v>
      </c>
      <c r="BF1" t="s">
        <v>339</v>
      </c>
      <c r="BG1" t="s">
        <v>500</v>
      </c>
      <c r="BH1" t="s">
        <v>501</v>
      </c>
      <c r="BI1" t="s">
        <v>502</v>
      </c>
      <c r="BJ1" t="s">
        <v>503</v>
      </c>
      <c r="BK1" t="s">
        <v>504</v>
      </c>
      <c r="BL1" t="s">
        <v>505</v>
      </c>
      <c r="BM1" t="s">
        <v>506</v>
      </c>
      <c r="BN1" t="s">
        <v>507</v>
      </c>
      <c r="BO1" t="s">
        <v>508</v>
      </c>
      <c r="BP1" t="s">
        <v>509</v>
      </c>
      <c r="BQ1" t="s">
        <v>510</v>
      </c>
      <c r="BR1" t="s">
        <v>511</v>
      </c>
      <c r="BS1" t="s">
        <v>512</v>
      </c>
      <c r="BT1" t="s">
        <v>513</v>
      </c>
      <c r="BU1" t="s">
        <v>514</v>
      </c>
      <c r="BV1" t="s">
        <v>342</v>
      </c>
      <c r="BW1" t="s">
        <v>343</v>
      </c>
      <c r="BX1" t="s">
        <v>344</v>
      </c>
      <c r="BY1" t="s">
        <v>345</v>
      </c>
      <c r="BZ1" t="s">
        <v>346</v>
      </c>
      <c r="CA1" t="s">
        <v>347</v>
      </c>
      <c r="CB1" t="s">
        <v>88</v>
      </c>
      <c r="CC1" t="s">
        <v>412</v>
      </c>
      <c r="CD1" t="s">
        <v>515</v>
      </c>
      <c r="CE1" t="s">
        <v>89</v>
      </c>
      <c r="CF1" t="s">
        <v>90</v>
      </c>
      <c r="CG1" t="s">
        <v>91</v>
      </c>
      <c r="CH1" t="s">
        <v>434</v>
      </c>
      <c r="CI1" t="s">
        <v>348</v>
      </c>
      <c r="CJ1" t="s">
        <v>94</v>
      </c>
      <c r="CK1" t="s">
        <v>349</v>
      </c>
      <c r="CL1" t="s">
        <v>435</v>
      </c>
      <c r="CM1" t="s">
        <v>350</v>
      </c>
      <c r="CN1" t="s">
        <v>351</v>
      </c>
      <c r="CO1" t="s">
        <v>353</v>
      </c>
      <c r="CP1" t="s">
        <v>354</v>
      </c>
      <c r="CQ1" t="s">
        <v>436</v>
      </c>
      <c r="CR1" t="s">
        <v>437</v>
      </c>
      <c r="CS1" t="s">
        <v>352</v>
      </c>
      <c r="CT1" t="s">
        <v>357</v>
      </c>
      <c r="CU1" t="s">
        <v>358</v>
      </c>
      <c r="CV1" t="s">
        <v>359</v>
      </c>
      <c r="CW1" t="s">
        <v>360</v>
      </c>
      <c r="CX1" t="s">
        <v>361</v>
      </c>
      <c r="CY1" t="s">
        <v>361</v>
      </c>
      <c r="CZ1" t="s">
        <v>362</v>
      </c>
      <c r="DA1" t="s">
        <v>362</v>
      </c>
      <c r="DB1" t="s">
        <v>363</v>
      </c>
      <c r="DC1" t="s">
        <v>364</v>
      </c>
      <c r="DD1" t="s">
        <v>365</v>
      </c>
      <c r="DE1" t="s">
        <v>438</v>
      </c>
      <c r="DF1" t="s">
        <v>439</v>
      </c>
      <c r="DG1" t="s">
        <v>440</v>
      </c>
      <c r="DH1" t="s">
        <v>441</v>
      </c>
      <c r="DI1" t="s">
        <v>442</v>
      </c>
      <c r="DJ1" t="s">
        <v>443</v>
      </c>
      <c r="DK1" t="s">
        <v>444</v>
      </c>
      <c r="DL1" t="s">
        <v>445</v>
      </c>
      <c r="DM1" t="s">
        <v>446</v>
      </c>
      <c r="DN1" t="s">
        <v>448</v>
      </c>
      <c r="DO1" t="s">
        <v>448</v>
      </c>
      <c r="DP1" t="s">
        <v>516</v>
      </c>
      <c r="DQ1" t="s">
        <v>516</v>
      </c>
      <c r="DR1" t="s">
        <v>450</v>
      </c>
      <c r="DS1" t="s">
        <v>517</v>
      </c>
      <c r="DT1" t="s">
        <v>451</v>
      </c>
      <c r="DU1" t="s">
        <v>451</v>
      </c>
      <c r="DV1" t="s">
        <v>452</v>
      </c>
      <c r="DW1" t="s">
        <v>453</v>
      </c>
      <c r="DX1" t="s">
        <v>454</v>
      </c>
      <c r="DY1" t="s">
        <v>455</v>
      </c>
      <c r="DZ1" t="s">
        <v>375</v>
      </c>
      <c r="EA1" t="s">
        <v>376</v>
      </c>
      <c r="EB1" t="s">
        <v>457</v>
      </c>
      <c r="EC1" t="s">
        <v>518</v>
      </c>
      <c r="ED1" t="s">
        <v>519</v>
      </c>
      <c r="EE1" t="s">
        <v>460</v>
      </c>
      <c r="EF1" t="s">
        <v>461</v>
      </c>
      <c r="EG1" t="s">
        <v>462</v>
      </c>
      <c r="EH1" t="s">
        <v>520</v>
      </c>
      <c r="EI1" t="s">
        <v>521</v>
      </c>
      <c r="EJ1" t="s">
        <v>465</v>
      </c>
      <c r="EK1" t="s">
        <v>381</v>
      </c>
      <c r="EL1" t="s">
        <v>467</v>
      </c>
      <c r="EM1" t="s">
        <v>468</v>
      </c>
      <c r="EN1" t="s">
        <v>469</v>
      </c>
      <c r="EO1" t="s">
        <v>522</v>
      </c>
      <c r="EP1" t="s">
        <v>523</v>
      </c>
      <c r="EQ1" t="s">
        <v>472</v>
      </c>
      <c r="ER1" t="s">
        <v>474</v>
      </c>
      <c r="ES1" t="s">
        <v>524</v>
      </c>
      <c r="ET1" t="s">
        <v>390</v>
      </c>
      <c r="EU1" t="s">
        <v>391</v>
      </c>
      <c r="EV1" t="s">
        <v>392</v>
      </c>
      <c r="EW1" t="s">
        <v>393</v>
      </c>
      <c r="EX1" t="s">
        <v>525</v>
      </c>
      <c r="EY1" t="s">
        <v>526</v>
      </c>
      <c r="EZ1" t="s">
        <v>527</v>
      </c>
      <c r="FA1" t="s">
        <v>528</v>
      </c>
      <c r="FB1" t="s">
        <v>529</v>
      </c>
      <c r="FC1" t="s">
        <v>397</v>
      </c>
      <c r="FD1" t="s">
        <v>398</v>
      </c>
      <c r="FE1" t="s">
        <v>399</v>
      </c>
      <c r="FF1" t="s">
        <v>478</v>
      </c>
      <c r="FG1" t="s">
        <v>400</v>
      </c>
      <c r="FH1" t="s">
        <v>530</v>
      </c>
      <c r="FI1" t="s">
        <v>481</v>
      </c>
      <c r="FJ1" t="s">
        <v>5</v>
      </c>
      <c r="FK1" t="s">
        <v>531</v>
      </c>
      <c r="FL1" t="s">
        <v>532</v>
      </c>
      <c r="FM1" t="s">
        <v>533</v>
      </c>
      <c r="FN1" t="s">
        <v>534</v>
      </c>
      <c r="FO1" t="s">
        <v>535</v>
      </c>
      <c r="FP1" t="s">
        <v>536</v>
      </c>
      <c r="FQ1" t="s">
        <v>537</v>
      </c>
      <c r="FR1" t="s">
        <v>538</v>
      </c>
      <c r="FS1" t="s">
        <v>539</v>
      </c>
      <c r="FT1" t="s">
        <v>540</v>
      </c>
      <c r="FU1" t="s">
        <v>541</v>
      </c>
      <c r="FV1" t="s">
        <v>542</v>
      </c>
      <c r="FW1" t="s">
        <v>543</v>
      </c>
      <c r="FX1" t="s">
        <v>544</v>
      </c>
      <c r="FY1" t="s">
        <v>545</v>
      </c>
      <c r="FZ1" t="s">
        <v>546</v>
      </c>
      <c r="GA1" t="s">
        <v>547</v>
      </c>
      <c r="GB1" t="s">
        <v>548</v>
      </c>
      <c r="GC1" t="s">
        <v>549</v>
      </c>
      <c r="GD1" t="s">
        <v>550</v>
      </c>
      <c r="GE1" t="s">
        <v>551</v>
      </c>
      <c r="GF1" t="s">
        <v>381</v>
      </c>
      <c r="GG1" t="s">
        <v>552</v>
      </c>
      <c r="GH1" t="s">
        <v>553</v>
      </c>
      <c r="GI1" t="s">
        <v>554</v>
      </c>
      <c r="GJ1" t="s">
        <v>555</v>
      </c>
      <c r="GK1" t="s">
        <v>556</v>
      </c>
      <c r="GL1" t="s">
        <v>557</v>
      </c>
      <c r="GM1" t="s">
        <v>558</v>
      </c>
      <c r="GN1" t="s">
        <v>559</v>
      </c>
      <c r="GO1" t="s">
        <v>560</v>
      </c>
    </row>
    <row r="2" spans="1:197" x14ac:dyDescent="0.35">
      <c r="A2">
        <v>1992</v>
      </c>
      <c r="B2">
        <v>346600000000</v>
      </c>
      <c r="C2">
        <v>56.2</v>
      </c>
      <c r="D2">
        <v>0.56200000000000006</v>
      </c>
      <c r="E2">
        <v>6167259786.4768677</v>
      </c>
      <c r="F2">
        <v>616725978647.68677</v>
      </c>
      <c r="G2">
        <v>21190000000</v>
      </c>
      <c r="H2">
        <v>6240000000</v>
      </c>
      <c r="I2">
        <v>134820000000</v>
      </c>
      <c r="J2">
        <v>49956000000</v>
      </c>
      <c r="K2">
        <v>61.1</v>
      </c>
      <c r="L2">
        <v>0.61099999999999999</v>
      </c>
      <c r="M2">
        <v>346808510.63829786</v>
      </c>
      <c r="N2">
        <v>2206546644.8445172</v>
      </c>
      <c r="O2">
        <v>2206546644.8445172</v>
      </c>
      <c r="P2">
        <v>34680851063.829788</v>
      </c>
      <c r="Q2">
        <v>10212765957.446808</v>
      </c>
      <c r="R2">
        <v>220654664484.45172</v>
      </c>
      <c r="S2">
        <v>265548281505.72833</v>
      </c>
      <c r="T2">
        <v>817610474.63175118</v>
      </c>
      <c r="U2">
        <v>81761047463.175125</v>
      </c>
      <c r="V2">
        <v>964035307616.59021</v>
      </c>
      <c r="W2">
        <v>558806000000</v>
      </c>
      <c r="X2">
        <v>54.444024999999996</v>
      </c>
      <c r="Y2">
        <v>0.54444024999999996</v>
      </c>
      <c r="Z2">
        <v>1026386274710.5858</v>
      </c>
      <c r="AA2">
        <v>0.28299999999999997</v>
      </c>
      <c r="AB2">
        <v>0.30299999999999999</v>
      </c>
      <c r="AC2">
        <v>0.58599999999999997</v>
      </c>
      <c r="AD2">
        <v>0.26507460688957302</v>
      </c>
      <c r="AE2">
        <v>0.85107460688957293</v>
      </c>
      <c r="AF2">
        <v>0.14892539311042696</v>
      </c>
      <c r="AG2">
        <v>3018000</v>
      </c>
      <c r="AH2">
        <v>19653000</v>
      </c>
      <c r="AI2">
        <v>22671000</v>
      </c>
      <c r="AJ2">
        <v>0.1823572</v>
      </c>
      <c r="AK2">
        <v>3583866.0515999999</v>
      </c>
      <c r="AL2">
        <v>0.81734648139847599</v>
      </c>
      <c r="AM2">
        <v>16063310.398924248</v>
      </c>
      <c r="AN2">
        <v>0.50219360000000002</v>
      </c>
      <c r="AO2">
        <v>8066891.6771532046</v>
      </c>
      <c r="AP2">
        <v>7996418.7217710437</v>
      </c>
      <c r="AQ2">
        <v>416.07259300955047</v>
      </c>
      <c r="AR2">
        <v>0.57818650000000005</v>
      </c>
      <c r="AS2">
        <v>2072142.9688434235</v>
      </c>
      <c r="AT2">
        <v>1511723.0827565764</v>
      </c>
      <c r="AU2">
        <v>10139034.645996628</v>
      </c>
      <c r="AV2">
        <v>9508141.8045276199</v>
      </c>
      <c r="AW2">
        <v>44832418702.925949</v>
      </c>
      <c r="AX2">
        <v>36928628760.249176</v>
      </c>
      <c r="AY2">
        <v>174533451957.29535</v>
      </c>
      <c r="AZ2">
        <v>186867971530.24908</v>
      </c>
      <c r="BA2">
        <v>163478396348.62277</v>
      </c>
      <c r="BB2">
        <v>524879819836.16724</v>
      </c>
      <c r="BC2">
        <v>616725978647.68677</v>
      </c>
      <c r="BD2">
        <v>0.85107460688957304</v>
      </c>
      <c r="BE2">
        <v>0.85107460688957293</v>
      </c>
      <c r="BF2">
        <v>15758046.8943795</v>
      </c>
      <c r="BG2">
        <v>616725978647.68677</v>
      </c>
      <c r="BH2">
        <v>524879819836.16718</v>
      </c>
      <c r="BI2">
        <v>219365870660.22131</v>
      </c>
      <c r="BJ2">
        <v>27203.298427404472</v>
      </c>
      <c r="BK2">
        <v>23152.036515202999</v>
      </c>
      <c r="BL2">
        <v>21635.774836496625</v>
      </c>
      <c r="BM2">
        <v>523.14035437316295</v>
      </c>
      <c r="BN2">
        <v>445.23147144621151</v>
      </c>
      <c r="BO2">
        <v>416.07259300955047</v>
      </c>
      <c r="BP2">
        <v>347309328968.90344</v>
      </c>
      <c r="BQ2">
        <v>347309328968.90344</v>
      </c>
      <c r="BR2">
        <v>439155487780.42297</v>
      </c>
      <c r="BS2">
        <v>744669436956.3689</v>
      </c>
      <c r="BT2">
        <v>489344881796.22662</v>
      </c>
      <c r="BU2">
        <v>652823278144.84937</v>
      </c>
      <c r="BV2">
        <v>38.1</v>
      </c>
      <c r="BW2">
        <v>14.8</v>
      </c>
      <c r="BX2">
        <v>9.5</v>
      </c>
      <c r="BY2">
        <v>16437206.669469548</v>
      </c>
      <c r="BZ2">
        <v>5093138.310393123</v>
      </c>
      <c r="CA2">
        <v>950214.79834878002</v>
      </c>
      <c r="CB2">
        <v>22480559.778211452</v>
      </c>
      <c r="CC2">
        <v>22671000</v>
      </c>
      <c r="CD2">
        <v>190440.22178854793</v>
      </c>
      <c r="CE2">
        <v>0.73117426041146782</v>
      </c>
      <c r="CF2">
        <v>0.2265574505546557</v>
      </c>
      <c r="CG2">
        <v>4.2268289033876492E-2</v>
      </c>
      <c r="CH2">
        <v>31.612338335707658</v>
      </c>
      <c r="CI2">
        <v>843407092.6894269</v>
      </c>
      <c r="CJ2">
        <v>710663061.6849215</v>
      </c>
      <c r="CK2">
        <v>31.99</v>
      </c>
      <c r="CL2">
        <v>31.234676671415318</v>
      </c>
      <c r="CM2">
        <v>35.69</v>
      </c>
      <c r="CN2">
        <v>44.59</v>
      </c>
      <c r="CO2">
        <v>33.049999999999997</v>
      </c>
      <c r="CP2">
        <v>44.7</v>
      </c>
      <c r="CQ2">
        <v>38.335573645799322</v>
      </c>
      <c r="CR2">
        <v>37.740330683565688</v>
      </c>
      <c r="CS2">
        <v>37.50891798051881</v>
      </c>
      <c r="CT2">
        <v>34.200593226471753</v>
      </c>
      <c r="CU2">
        <v>1993.4498295815647</v>
      </c>
      <c r="CV2">
        <v>1962.4971955454157</v>
      </c>
      <c r="CW2">
        <v>1950.4637349869781</v>
      </c>
      <c r="CX2">
        <v>370198422.77702814</v>
      </c>
      <c r="CY2">
        <v>287907363.95759785</v>
      </c>
      <c r="CZ2">
        <v>426217559.0668025</v>
      </c>
      <c r="DA2">
        <v>92396854.980728269</v>
      </c>
      <c r="DB2">
        <v>869105790.12391639</v>
      </c>
      <c r="DC2">
        <v>1214231670.1332581</v>
      </c>
      <c r="DD2">
        <v>380304218.93832612</v>
      </c>
      <c r="DE2">
        <v>45193501086.443649</v>
      </c>
      <c r="DF2">
        <v>63140046846.92942</v>
      </c>
      <c r="DG2">
        <v>19775819384.792957</v>
      </c>
      <c r="DH2">
        <v>1993.4498295815645</v>
      </c>
      <c r="DI2">
        <v>1962.4971955454159</v>
      </c>
      <c r="DJ2">
        <v>1950.4637349869781</v>
      </c>
      <c r="DK2">
        <v>21.331281809139689</v>
      </c>
      <c r="DL2">
        <v>15.268207037503528</v>
      </c>
      <c r="DM2">
        <v>48.748185289248035</v>
      </c>
      <c r="DN2">
        <v>0.56315015256931267</v>
      </c>
      <c r="DO2">
        <v>3.3946458248730824</v>
      </c>
      <c r="DP2">
        <v>0.56315015256931267</v>
      </c>
      <c r="DQ2">
        <v>0.56315015256931267</v>
      </c>
      <c r="DR2">
        <v>2.9759564520226389</v>
      </c>
      <c r="DS2">
        <v>0.83667817123831945</v>
      </c>
      <c r="DT2">
        <v>2.2307247719230641</v>
      </c>
      <c r="DU2">
        <v>2.9759564520226389</v>
      </c>
      <c r="DV2">
        <v>24.524562520617778</v>
      </c>
      <c r="DW2">
        <v>13.811011125181544</v>
      </c>
      <c r="DX2">
        <v>20.548145709229242</v>
      </c>
      <c r="DY2">
        <v>17.192184974336445</v>
      </c>
      <c r="DZ2">
        <v>9.4339358172389858</v>
      </c>
      <c r="EA2">
        <v>28.074982163279824</v>
      </c>
      <c r="EB2">
        <v>13.815573645799322</v>
      </c>
      <c r="EC2">
        <v>17.190330683565687</v>
      </c>
      <c r="ED2">
        <v>28.07891798051881</v>
      </c>
      <c r="EE2">
        <v>56.344101328708497</v>
      </c>
      <c r="EF2">
        <v>83.651244202266113</v>
      </c>
      <c r="EG2">
        <v>297.76159046149326</v>
      </c>
      <c r="EH2">
        <v>9.7675882335471993</v>
      </c>
      <c r="EI2">
        <v>8.3129463161254016</v>
      </c>
      <c r="EJ2">
        <v>11.09263117708829</v>
      </c>
      <c r="EK2">
        <v>62.6</v>
      </c>
      <c r="EL2">
        <v>2.9346572118876675</v>
      </c>
      <c r="EM2">
        <v>4.1000229985246257</v>
      </c>
      <c r="EN2">
        <v>1.2841503663892724</v>
      </c>
      <c r="EO2">
        <v>4.6879508177119292E-2</v>
      </c>
      <c r="EP2">
        <v>6.549557505630392E-2</v>
      </c>
      <c r="EQ2">
        <v>2.0513584127624159E-2</v>
      </c>
      <c r="ER2">
        <v>0.45789973246531007</v>
      </c>
      <c r="ES2">
        <v>0.54446119938681636</v>
      </c>
      <c r="ET2">
        <v>0.22754962284790722</v>
      </c>
      <c r="EU2">
        <v>912.80014364841634</v>
      </c>
      <c r="EV2">
        <v>1068.5035768799207</v>
      </c>
      <c r="EW2">
        <v>443.82728727480736</v>
      </c>
      <c r="EX2">
        <v>241126</v>
      </c>
      <c r="EY2">
        <v>20794</v>
      </c>
      <c r="EZ2">
        <v>220332</v>
      </c>
      <c r="FA2">
        <v>100</v>
      </c>
      <c r="FB2">
        <v>100.00600941931408</v>
      </c>
      <c r="FC2">
        <v>100.01860734346566</v>
      </c>
      <c r="FD2">
        <v>100.00732168849777</v>
      </c>
      <c r="FE2">
        <v>99.988454996868342</v>
      </c>
      <c r="FF2">
        <v>100.00000157114948</v>
      </c>
      <c r="FG2">
        <v>99.978107525176867</v>
      </c>
      <c r="FH2">
        <v>99.9753145705957</v>
      </c>
      <c r="FI2">
        <v>100.0000270921269</v>
      </c>
      <c r="FJ2">
        <v>101.28719681671056</v>
      </c>
      <c r="FK2">
        <v>99.998541993650718</v>
      </c>
      <c r="FL2">
        <v>99.988258267868559</v>
      </c>
      <c r="FM2">
        <v>99.990976687246913</v>
      </c>
      <c r="FN2">
        <v>100.01271072912417</v>
      </c>
      <c r="FO2">
        <v>100.00087621506542</v>
      </c>
      <c r="FP2">
        <v>99.999997906028739</v>
      </c>
      <c r="FQ2">
        <v>100.08477929904711</v>
      </c>
      <c r="FR2">
        <v>100.03545506769436</v>
      </c>
      <c r="FS2">
        <v>99.999781426389958</v>
      </c>
      <c r="FT2">
        <v>100.00192369729892</v>
      </c>
      <c r="FU2">
        <v>100.00056093962502</v>
      </c>
      <c r="FV2">
        <v>99.996277516406224</v>
      </c>
      <c r="FW2">
        <v>100.04173719235403</v>
      </c>
      <c r="FX2">
        <v>100.01774906761605</v>
      </c>
      <c r="FY2">
        <v>99.997115383947772</v>
      </c>
      <c r="FZ2">
        <v>99.999999244291558</v>
      </c>
      <c r="GA2">
        <v>99.802466161362815</v>
      </c>
      <c r="GB2">
        <v>100.0237256725725</v>
      </c>
      <c r="GC2">
        <v>99.999880778728169</v>
      </c>
      <c r="GD2">
        <v>99.996146654269268</v>
      </c>
      <c r="GE2">
        <v>99.996135056009365</v>
      </c>
      <c r="GF2">
        <v>62.6</v>
      </c>
      <c r="GG2">
        <v>100</v>
      </c>
      <c r="GH2">
        <v>100</v>
      </c>
      <c r="GI2">
        <v>241126</v>
      </c>
      <c r="GJ2">
        <v>100</v>
      </c>
      <c r="GK2">
        <v>99.126392689990467</v>
      </c>
      <c r="GL2">
        <v>72.954574345820916</v>
      </c>
      <c r="GM2">
        <v>93.777584715936285</v>
      </c>
      <c r="GN2">
        <v>123.54373213897179</v>
      </c>
      <c r="GO2">
        <v>107.06713780918729</v>
      </c>
    </row>
    <row r="3" spans="1:197" x14ac:dyDescent="0.35">
      <c r="A3">
        <v>1993</v>
      </c>
      <c r="B3">
        <v>357329000000</v>
      </c>
      <c r="C3">
        <v>56.6</v>
      </c>
      <c r="D3">
        <v>0.56600000000000006</v>
      </c>
      <c r="E3">
        <v>6313233215.5477028</v>
      </c>
      <c r="F3">
        <v>631323321554.77026</v>
      </c>
      <c r="G3">
        <v>28380000000</v>
      </c>
      <c r="H3">
        <v>7213000000</v>
      </c>
      <c r="I3">
        <v>145579000000</v>
      </c>
      <c r="J3">
        <v>53891000000</v>
      </c>
      <c r="K3">
        <v>64.8</v>
      </c>
      <c r="L3">
        <v>0.64800000000000002</v>
      </c>
      <c r="M3">
        <v>437962962.96296299</v>
      </c>
      <c r="N3">
        <v>2246589506.1728396</v>
      </c>
      <c r="O3">
        <v>2246589506.1728396</v>
      </c>
      <c r="P3">
        <v>43796296296.296295</v>
      </c>
      <c r="Q3">
        <v>11131172839.506172</v>
      </c>
      <c r="R3">
        <v>224658950617.28394</v>
      </c>
      <c r="S3">
        <v>279586419753.08643</v>
      </c>
      <c r="T3">
        <v>831651234.56790125</v>
      </c>
      <c r="U3">
        <v>83165123456.790115</v>
      </c>
      <c r="V3">
        <v>994074864764.64685</v>
      </c>
      <c r="W3">
        <v>592392000000</v>
      </c>
      <c r="X3">
        <v>56.006275000000002</v>
      </c>
      <c r="Y3">
        <v>0.56006275000000005</v>
      </c>
      <c r="Z3">
        <v>1057724335353.4938</v>
      </c>
      <c r="AA3">
        <v>0.27949999999999997</v>
      </c>
      <c r="AB3">
        <v>0.29449999999999998</v>
      </c>
      <c r="AC3">
        <v>0.57399999999999995</v>
      </c>
      <c r="AD3" t="e">
        <v>#DIV/0!</v>
      </c>
      <c r="AE3" t="e">
        <v>#DIV/0!</v>
      </c>
      <c r="AF3" t="e">
        <v>#DIV/0!</v>
      </c>
      <c r="AG3">
        <v>2787000</v>
      </c>
      <c r="AH3">
        <v>19484000</v>
      </c>
      <c r="AI3">
        <v>22271000</v>
      </c>
      <c r="AJ3">
        <v>0.18843049999999995</v>
      </c>
      <c r="AK3">
        <v>3671379.8619999988</v>
      </c>
      <c r="AL3">
        <v>0.81165703275529866</v>
      </c>
      <c r="AM3">
        <v>15814325.626204239</v>
      </c>
      <c r="AN3">
        <v>0.50623265000000006</v>
      </c>
      <c r="AO3">
        <v>8005727.9697162826</v>
      </c>
      <c r="AP3">
        <v>7808597.6564879566</v>
      </c>
      <c r="AQ3">
        <v>423.86686959551383</v>
      </c>
      <c r="AR3">
        <v>0.57539459999999998</v>
      </c>
      <c r="AS3">
        <v>2112492.1471435446</v>
      </c>
      <c r="AT3">
        <v>1558887.7148564544</v>
      </c>
      <c r="AU3">
        <v>10118220.116859827</v>
      </c>
      <c r="AV3">
        <v>9367485.3713444117</v>
      </c>
      <c r="AW3">
        <v>46561602539.651672</v>
      </c>
      <c r="AX3">
        <v>36603520917.138443</v>
      </c>
      <c r="AY3">
        <v>176454868374.55826</v>
      </c>
      <c r="AZ3">
        <v>185924718197.87982</v>
      </c>
      <c r="BA3" t="e">
        <v>#DIV/0!</v>
      </c>
      <c r="BB3" t="e">
        <v>#DIV/0!</v>
      </c>
      <c r="BC3">
        <v>631323321554.77026</v>
      </c>
      <c r="BD3" t="e">
        <v>#DIV/0!</v>
      </c>
      <c r="BE3" t="e">
        <v>#DIV/0!</v>
      </c>
      <c r="BG3">
        <v>631323321554.77026</v>
      </c>
      <c r="BH3" t="e">
        <v>#DIV/0!</v>
      </c>
      <c r="BI3">
        <v>223016470914.20993</v>
      </c>
      <c r="BJ3">
        <v>28347.327087008678</v>
      </c>
      <c r="BK3" t="e">
        <v>#DIV/0!</v>
      </c>
      <c r="BL3">
        <v>22041.077218966722</v>
      </c>
      <c r="BM3">
        <v>545.14090551939762</v>
      </c>
      <c r="BN3" t="e">
        <v>#DIV/0!</v>
      </c>
      <c r="BO3">
        <v>423.86686959551389</v>
      </c>
      <c r="BP3">
        <v>362751543209.87653</v>
      </c>
      <c r="BQ3">
        <v>362751543209.87659</v>
      </c>
      <c r="BS3">
        <v>771058393850.43689</v>
      </c>
      <c r="BT3">
        <v>502114658868.10468</v>
      </c>
      <c r="BU3" t="e">
        <v>#DIV/0!</v>
      </c>
      <c r="BV3">
        <v>38.200000000000003</v>
      </c>
      <c r="BW3">
        <v>14.9</v>
      </c>
      <c r="BX3">
        <v>9.1</v>
      </c>
      <c r="BY3">
        <v>16242095.418671632</v>
      </c>
      <c r="BZ3">
        <v>5152988.306885194</v>
      </c>
      <c r="CA3">
        <v>1049621.5809888246</v>
      </c>
      <c r="CB3">
        <v>22444705.306545652</v>
      </c>
      <c r="CC3">
        <v>22271000</v>
      </c>
      <c r="CD3">
        <v>-173705.30654565245</v>
      </c>
      <c r="CE3">
        <v>0.72364930600959487</v>
      </c>
      <c r="CF3">
        <v>0.22958591955236785</v>
      </c>
      <c r="CG3">
        <v>4.6764774438037227E-2</v>
      </c>
      <c r="CH3">
        <v>31.489793138282945</v>
      </c>
      <c r="CI3">
        <v>831871805.79729843</v>
      </c>
      <c r="CJ3">
        <v>706779127.15284407</v>
      </c>
      <c r="CM3">
        <v>34.04</v>
      </c>
      <c r="CN3">
        <v>41</v>
      </c>
      <c r="CQ3">
        <v>25.24819929099603</v>
      </c>
      <c r="CS3">
        <v>35.493115782648353</v>
      </c>
      <c r="CU3">
        <v>1312.9063631317936</v>
      </c>
      <c r="CW3">
        <v>1845.6420206977143</v>
      </c>
      <c r="CX3">
        <v>350084109.77348411</v>
      </c>
      <c r="CY3">
        <v>272514980.08914226</v>
      </c>
      <c r="CZ3">
        <v>397912908.83642125</v>
      </c>
      <c r="DA3">
        <v>86612178.032885328</v>
      </c>
      <c r="DC3">
        <v>728491113.00302935</v>
      </c>
      <c r="DD3">
        <v>359127158.12202758</v>
      </c>
      <c r="DG3">
        <v>18674612222.345432</v>
      </c>
      <c r="DJ3">
        <v>1845.6420206977141</v>
      </c>
      <c r="DK3" t="e">
        <v>#DIV/0!</v>
      </c>
      <c r="DM3">
        <v>53.231352433394534</v>
      </c>
      <c r="DN3">
        <v>0.57458916980371078</v>
      </c>
      <c r="DO3">
        <v>3.4574055929126777</v>
      </c>
      <c r="DP3">
        <v>0.57458916980371066</v>
      </c>
      <c r="DQ3">
        <v>0.57458916980371066</v>
      </c>
      <c r="DR3" t="e">
        <v>#DIV/0!</v>
      </c>
      <c r="DT3">
        <v>2.2514689467095832</v>
      </c>
      <c r="ED3">
        <v>26.063115782648353</v>
      </c>
      <c r="EG3">
        <v>276.38510904187012</v>
      </c>
      <c r="EH3" t="e">
        <v>#DIV/0!</v>
      </c>
      <c r="EI3" t="e">
        <v>#DIV/0!</v>
      </c>
      <c r="EJ3">
        <v>11.942227675675948</v>
      </c>
      <c r="EK3">
        <v>64.2</v>
      </c>
      <c r="EL3" t="e">
        <v>#DIV/0!</v>
      </c>
      <c r="EM3" t="e">
        <v>#DIV/0!</v>
      </c>
      <c r="EN3">
        <v>1.2060561504675265</v>
      </c>
      <c r="EO3" t="e">
        <v>#DIV/0!</v>
      </c>
      <c r="EP3" t="e">
        <v>#DIV/0!</v>
      </c>
      <c r="EQ3">
        <v>1.8785921346846205E-2</v>
      </c>
      <c r="ER3" t="e">
        <v>#DIV/0!</v>
      </c>
      <c r="ES3" t="e">
        <v>#DIV/0!</v>
      </c>
      <c r="ET3">
        <v>0.22434574982137831</v>
      </c>
      <c r="EU3" t="e">
        <v>#DIV/0!</v>
      </c>
      <c r="EV3" t="e">
        <v>#DIV/0!</v>
      </c>
      <c r="EW3">
        <v>414.06194303527252</v>
      </c>
      <c r="EX3">
        <v>242972</v>
      </c>
      <c r="EY3">
        <v>21099</v>
      </c>
      <c r="EZ3">
        <v>221873</v>
      </c>
      <c r="FA3">
        <v>100.69939908864799</v>
      </c>
      <c r="FB3" t="e">
        <v>#DIV/0!</v>
      </c>
      <c r="FC3">
        <v>0</v>
      </c>
      <c r="FD3">
        <v>0</v>
      </c>
      <c r="FF3">
        <v>104.20547937609874</v>
      </c>
      <c r="FI3">
        <v>102.03128292705507</v>
      </c>
      <c r="FJ3">
        <v>0</v>
      </c>
      <c r="FV3">
        <v>109.19251781209137</v>
      </c>
      <c r="FY3">
        <v>94.62307593348001</v>
      </c>
      <c r="FZ3">
        <v>101.87329651453076</v>
      </c>
      <c r="GA3">
        <v>98.397258693586977</v>
      </c>
      <c r="GB3">
        <v>107.68464991592379</v>
      </c>
      <c r="GD3">
        <v>92.817363898320352</v>
      </c>
      <c r="GE3">
        <v>93.914978232948641</v>
      </c>
      <c r="GF3">
        <v>64.2</v>
      </c>
      <c r="GG3">
        <v>102.55591054313101</v>
      </c>
      <c r="GH3">
        <v>100.69939908864805</v>
      </c>
      <c r="GI3">
        <v>242972</v>
      </c>
      <c r="GJ3">
        <v>100.76557484468699</v>
      </c>
      <c r="GK3">
        <v>97.537634129288151</v>
      </c>
      <c r="GL3">
        <v>73.793775610685259</v>
      </c>
      <c r="GM3">
        <v>92.580367526651457</v>
      </c>
      <c r="GN3">
        <v>120.1247376610397</v>
      </c>
      <c r="GO3">
        <v>105.36672629695887</v>
      </c>
    </row>
    <row r="4" spans="1:197" x14ac:dyDescent="0.35">
      <c r="A4">
        <v>1994</v>
      </c>
      <c r="B4">
        <v>370101000000</v>
      </c>
      <c r="C4">
        <v>56.5</v>
      </c>
      <c r="D4">
        <v>0.56499999999999995</v>
      </c>
      <c r="E4">
        <v>6550460176.9911509</v>
      </c>
      <c r="F4">
        <v>655046017699.11511</v>
      </c>
      <c r="G4">
        <v>30532000000</v>
      </c>
      <c r="H4">
        <v>7640000000</v>
      </c>
      <c r="I4">
        <v>159340000000</v>
      </c>
      <c r="J4">
        <v>56040000000</v>
      </c>
      <c r="K4">
        <v>66.7</v>
      </c>
      <c r="L4">
        <v>0.66700000000000004</v>
      </c>
      <c r="M4">
        <v>457751124.4377811</v>
      </c>
      <c r="N4">
        <v>2388905547.2263865</v>
      </c>
      <c r="O4">
        <v>2388905547.2263865</v>
      </c>
      <c r="P4">
        <v>45775112443.778107</v>
      </c>
      <c r="Q4">
        <v>11454272863.568214</v>
      </c>
      <c r="R4">
        <v>238890554722.63867</v>
      </c>
      <c r="S4">
        <v>296119940029.98499</v>
      </c>
      <c r="T4">
        <v>840179910.04497743</v>
      </c>
      <c r="U4">
        <v>84017991004.497742</v>
      </c>
      <c r="V4">
        <v>1035183948733.5979</v>
      </c>
      <c r="W4">
        <v>623653000000</v>
      </c>
      <c r="X4">
        <v>56.832574999999999</v>
      </c>
      <c r="Y4">
        <v>0.56832574999999996</v>
      </c>
      <c r="Z4">
        <v>1097351298968.9453</v>
      </c>
      <c r="AA4">
        <v>0.27600000000000002</v>
      </c>
      <c r="AB4">
        <v>0.28599999999999998</v>
      </c>
      <c r="AC4">
        <v>0.56200000000000006</v>
      </c>
      <c r="AD4">
        <v>0.29386422540948348</v>
      </c>
      <c r="AE4">
        <v>0.85586422540948348</v>
      </c>
      <c r="AF4">
        <v>0.14413577459051652</v>
      </c>
      <c r="AG4">
        <v>2752000</v>
      </c>
      <c r="AH4">
        <v>19869000</v>
      </c>
      <c r="AI4">
        <v>22621000</v>
      </c>
      <c r="AJ4">
        <v>0.1945038</v>
      </c>
      <c r="AK4">
        <v>3864596.0022</v>
      </c>
      <c r="AL4">
        <v>0.81224391419619191</v>
      </c>
      <c r="AM4">
        <v>16138474.331164137</v>
      </c>
      <c r="AN4">
        <v>0.51027169999999999</v>
      </c>
      <c r="AO4">
        <v>8235006.7323694872</v>
      </c>
      <c r="AP4">
        <v>7903467.5987946494</v>
      </c>
      <c r="AQ4">
        <v>422.19549082574775</v>
      </c>
      <c r="AR4">
        <v>0.57260270000000002</v>
      </c>
      <c r="AS4">
        <v>2212878.1052689259</v>
      </c>
      <c r="AT4">
        <v>1651717.8969310741</v>
      </c>
      <c r="AU4">
        <v>10447884.837638414</v>
      </c>
      <c r="AV4">
        <v>9555185.495725723</v>
      </c>
      <c r="AW4">
        <v>48581892205.161369</v>
      </c>
      <c r="AX4">
        <v>35436098799.336372</v>
      </c>
      <c r="AY4">
        <v>180792700884.95578</v>
      </c>
      <c r="AZ4">
        <v>187343161061.9469</v>
      </c>
      <c r="BA4">
        <v>192494590598.71725</v>
      </c>
      <c r="BB4">
        <v>560630452545.62</v>
      </c>
      <c r="BC4">
        <v>655046017699.11511</v>
      </c>
      <c r="BD4">
        <v>0.85586422540948348</v>
      </c>
      <c r="BE4">
        <v>0.85586422540948348</v>
      </c>
      <c r="BF4">
        <v>17037930.709742635</v>
      </c>
      <c r="BG4">
        <v>655046017699.11511</v>
      </c>
      <c r="BH4">
        <v>560630452545.62</v>
      </c>
      <c r="BI4">
        <v>229374593090.11716</v>
      </c>
      <c r="BJ4">
        <v>28957.429720132404</v>
      </c>
      <c r="BK4">
        <v>24783.628157270676</v>
      </c>
      <c r="BL4">
        <v>21954.165522938882</v>
      </c>
      <c r="BM4">
        <v>556.87364846408468</v>
      </c>
      <c r="BN4">
        <v>476.60823379366684</v>
      </c>
      <c r="BO4">
        <v>422.1954908257477</v>
      </c>
      <c r="BP4">
        <v>380137931034.48273</v>
      </c>
      <c r="BQ4">
        <v>380137931034.48279</v>
      </c>
      <c r="BR4">
        <v>474553496187.97791</v>
      </c>
      <c r="BS4">
        <v>805809355643.48071</v>
      </c>
      <c r="BT4">
        <v>518899199891.26825</v>
      </c>
      <c r="BU4">
        <v>711393790489.98547</v>
      </c>
      <c r="BV4">
        <v>38.5</v>
      </c>
      <c r="BW4">
        <v>14.9</v>
      </c>
      <c r="BX4">
        <v>9.1999999999999993</v>
      </c>
      <c r="BY4">
        <v>16233444.327016853</v>
      </c>
      <c r="BZ4">
        <v>5278742.0476709316</v>
      </c>
      <c r="CA4">
        <v>1165579.1950717538</v>
      </c>
      <c r="CB4">
        <v>22677765.569759537</v>
      </c>
      <c r="CC4">
        <v>22621000</v>
      </c>
      <c r="CD4">
        <v>-56765.569759536535</v>
      </c>
      <c r="CE4">
        <v>0.71583085542889247</v>
      </c>
      <c r="CF4">
        <v>0.23277170016741225</v>
      </c>
      <c r="CG4">
        <v>5.1397444403695411E-2</v>
      </c>
      <c r="CH4">
        <v>31.500642755020802</v>
      </c>
      <c r="CI4">
        <v>841883870.94359338</v>
      </c>
      <c r="CJ4">
        <v>714364191.69510591</v>
      </c>
      <c r="CK4">
        <v>31.79</v>
      </c>
      <c r="CL4">
        <v>31.211285510041606</v>
      </c>
      <c r="CM4">
        <v>33.97</v>
      </c>
      <c r="CN4">
        <v>41.31</v>
      </c>
      <c r="CO4">
        <v>32.11</v>
      </c>
      <c r="CP4">
        <v>46.95</v>
      </c>
      <c r="CQ4">
        <v>36.570759346273007</v>
      </c>
      <c r="CR4">
        <v>36.163562021976432</v>
      </c>
      <c r="CS4">
        <v>35.524623308457649</v>
      </c>
      <c r="CT4">
        <v>34.030085920429499</v>
      </c>
      <c r="CU4">
        <v>1901.6794860061964</v>
      </c>
      <c r="CV4">
        <v>1880.5052251427744</v>
      </c>
      <c r="CW4">
        <v>1847.2804120397977</v>
      </c>
      <c r="CX4">
        <v>360169534.04882807</v>
      </c>
      <c r="CY4">
        <v>279743178.69859147</v>
      </c>
      <c r="CZ4">
        <v>404165168.58391505</v>
      </c>
      <c r="DA4">
        <v>91413994.528659329</v>
      </c>
      <c r="DB4">
        <v>827267147.17204165</v>
      </c>
      <c r="DC4">
        <v>1168453940.6212165</v>
      </c>
      <c r="DD4">
        <v>371157173.22725081</v>
      </c>
      <c r="DE4">
        <v>43017891652.946167</v>
      </c>
      <c r="DF4">
        <v>60759604912.303261</v>
      </c>
      <c r="DG4">
        <v>19300173007.817043</v>
      </c>
      <c r="DH4">
        <v>1901.6794860061964</v>
      </c>
      <c r="DI4">
        <v>1880.5052251427744</v>
      </c>
      <c r="DJ4">
        <v>1847.2804120397977</v>
      </c>
      <c r="DK4">
        <v>24.0640326375154</v>
      </c>
      <c r="DL4">
        <v>17.037371296731106</v>
      </c>
      <c r="DM4">
        <v>53.635993227331333</v>
      </c>
      <c r="DN4">
        <v>0.58032248233450534</v>
      </c>
      <c r="DO4">
        <v>3.5130715428752506</v>
      </c>
      <c r="DP4">
        <v>0.58032248233450523</v>
      </c>
      <c r="DQ4">
        <v>0.58032248233450523</v>
      </c>
      <c r="DR4">
        <v>3.1014498201659659</v>
      </c>
      <c r="DS4">
        <v>0.84646400143481726</v>
      </c>
      <c r="DT4">
        <v>2.262234857403767</v>
      </c>
      <c r="DU4">
        <v>3.1014498201659659</v>
      </c>
      <c r="DV4">
        <v>23.141327010832281</v>
      </c>
      <c r="DW4">
        <v>13.429432335440726</v>
      </c>
      <c r="DX4">
        <v>19.585305748649905</v>
      </c>
      <c r="DY4">
        <v>16.578256273326527</v>
      </c>
      <c r="DZ4">
        <v>8.6614794441201131</v>
      </c>
      <c r="EA4">
        <v>26.863143864337538</v>
      </c>
      <c r="EB4">
        <v>12.050759346273008</v>
      </c>
      <c r="EC4">
        <v>15.613562021976431</v>
      </c>
      <c r="ED4">
        <v>26.094623308457649</v>
      </c>
      <c r="EE4">
        <v>49.146653125093835</v>
      </c>
      <c r="EF4">
        <v>75.978403999885302</v>
      </c>
      <c r="EG4">
        <v>276.71922914589237</v>
      </c>
      <c r="EH4">
        <v>10.780945969687737</v>
      </c>
      <c r="EI4">
        <v>9.2270259715282883</v>
      </c>
      <c r="EJ4">
        <v>11.884587407440069</v>
      </c>
      <c r="EK4">
        <v>65.5</v>
      </c>
      <c r="EL4">
        <v>2.7219045530168815</v>
      </c>
      <c r="EM4">
        <v>3.8444897900750234</v>
      </c>
      <c r="EN4">
        <v>1.2211948741656398</v>
      </c>
      <c r="EO4">
        <v>4.1555794702547805E-2</v>
      </c>
      <c r="EP4">
        <v>5.8694500611832422E-2</v>
      </c>
      <c r="EQ4">
        <v>1.8644196552147174E-2</v>
      </c>
      <c r="ER4">
        <v>0.4480107774156038</v>
      </c>
      <c r="ES4">
        <v>0.54157568153126079</v>
      </c>
      <c r="ET4">
        <v>0.22157858356548585</v>
      </c>
      <c r="EU4">
        <v>851.97290492094191</v>
      </c>
      <c r="EV4">
        <v>1018.435898929795</v>
      </c>
      <c r="EW4">
        <v>409.31777714804548</v>
      </c>
      <c r="EX4">
        <v>246966</v>
      </c>
      <c r="EY4">
        <v>21455</v>
      </c>
      <c r="EZ4">
        <v>225511</v>
      </c>
      <c r="FA4">
        <v>102.35054372492421</v>
      </c>
      <c r="FB4">
        <v>112.81778076659823</v>
      </c>
      <c r="FC4">
        <v>94.377353225253998</v>
      </c>
      <c r="FD4">
        <v>97.244260213184106</v>
      </c>
      <c r="FE4">
        <v>95.38539213947054</v>
      </c>
      <c r="FF4">
        <v>106.44823182884812</v>
      </c>
      <c r="FG4">
        <v>97.818947033974624</v>
      </c>
      <c r="FH4">
        <v>110.3474510715224</v>
      </c>
      <c r="FI4">
        <v>103.04936204110898</v>
      </c>
      <c r="FJ4">
        <v>88.348675559186276</v>
      </c>
      <c r="FK4">
        <v>92.748988074313615</v>
      </c>
      <c r="FL4">
        <v>111.57414077754491</v>
      </c>
      <c r="FM4">
        <v>95.305624081021435</v>
      </c>
      <c r="FN4">
        <v>96.441281403877412</v>
      </c>
      <c r="FO4">
        <v>95.822898839365209</v>
      </c>
      <c r="FP4">
        <v>107.04728986598751</v>
      </c>
      <c r="FQ4">
        <v>99.554353222658222</v>
      </c>
      <c r="FR4">
        <v>111.03521024703113</v>
      </c>
      <c r="FS4">
        <v>101.16938392632993</v>
      </c>
      <c r="FT4">
        <v>90.829331134243347</v>
      </c>
      <c r="FU4">
        <v>93.76804366036643</v>
      </c>
      <c r="FV4">
        <v>110.02255020991043</v>
      </c>
      <c r="FW4">
        <v>91.850259216544146</v>
      </c>
      <c r="FX4">
        <v>95.70054814512838</v>
      </c>
      <c r="FY4">
        <v>94.707073602926286</v>
      </c>
      <c r="FZ4">
        <v>101.47159287309503</v>
      </c>
      <c r="GA4">
        <v>97.183589283107835</v>
      </c>
      <c r="GB4">
        <v>107.16489997691676</v>
      </c>
      <c r="GC4">
        <v>104.21678450536855</v>
      </c>
      <c r="GD4">
        <v>92.929570186814985</v>
      </c>
      <c r="GE4">
        <v>95.09382293767635</v>
      </c>
      <c r="GF4">
        <v>65.5</v>
      </c>
      <c r="GG4">
        <v>104.6325878594249</v>
      </c>
      <c r="GH4">
        <v>102.35054372492421</v>
      </c>
      <c r="GI4">
        <v>246966</v>
      </c>
      <c r="GJ4">
        <v>102.42197025621461</v>
      </c>
      <c r="GK4">
        <v>95.974027170231068</v>
      </c>
      <c r="GL4">
        <v>74.641160441611603</v>
      </c>
      <c r="GM4">
        <v>91.455693130376503</v>
      </c>
      <c r="GN4">
        <v>117.79595283620657</v>
      </c>
      <c r="GO4">
        <v>103.62318840579709</v>
      </c>
    </row>
    <row r="5" spans="1:197" x14ac:dyDescent="0.35">
      <c r="A5">
        <v>1995</v>
      </c>
      <c r="B5">
        <v>386858000000</v>
      </c>
      <c r="C5">
        <v>57.6</v>
      </c>
      <c r="D5">
        <v>0.57600000000000007</v>
      </c>
      <c r="E5">
        <v>6716284722.2222223</v>
      </c>
      <c r="F5">
        <v>671628472222.22217</v>
      </c>
      <c r="G5">
        <v>27030000000</v>
      </c>
      <c r="H5">
        <v>9616000000</v>
      </c>
      <c r="I5">
        <v>167564000000</v>
      </c>
      <c r="J5">
        <v>59444000000</v>
      </c>
      <c r="K5">
        <v>68.3</v>
      </c>
      <c r="L5">
        <v>0.68299999999999994</v>
      </c>
      <c r="M5">
        <v>395754026.35431921</v>
      </c>
      <c r="N5">
        <v>2453352855.0512447</v>
      </c>
      <c r="O5">
        <v>2453352855.0512447</v>
      </c>
      <c r="P5">
        <v>39575402635.431923</v>
      </c>
      <c r="Q5">
        <v>14079062957.540264</v>
      </c>
      <c r="R5">
        <v>245335285505.12448</v>
      </c>
      <c r="S5">
        <v>298989751098.09668</v>
      </c>
      <c r="T5">
        <v>870336749.63396788</v>
      </c>
      <c r="U5">
        <v>87033674963.39679</v>
      </c>
      <c r="V5">
        <v>1057651898283.7156</v>
      </c>
      <c r="W5">
        <v>650512000000</v>
      </c>
      <c r="X5">
        <v>58.271675000000002</v>
      </c>
      <c r="Y5">
        <v>0.58271675000000001</v>
      </c>
      <c r="Z5">
        <v>1116343403548.9797</v>
      </c>
      <c r="AA5">
        <v>0.25800000000000001</v>
      </c>
      <c r="AB5">
        <v>0.29799999999999999</v>
      </c>
      <c r="AC5">
        <v>0.55600000000000005</v>
      </c>
      <c r="AD5">
        <v>0.30288947012151968</v>
      </c>
      <c r="AE5">
        <v>0.85888947012151973</v>
      </c>
      <c r="AF5">
        <v>0.14111052987848027</v>
      </c>
      <c r="AG5">
        <v>2757000</v>
      </c>
      <c r="AH5">
        <v>20205000</v>
      </c>
      <c r="AI5">
        <v>22962000</v>
      </c>
      <c r="AJ5">
        <v>0.18514589999999997</v>
      </c>
      <c r="AK5">
        <v>3740872.9094999996</v>
      </c>
      <c r="AL5">
        <v>0.81859248692344266</v>
      </c>
      <c r="AM5">
        <v>16539661.198288159</v>
      </c>
      <c r="AN5">
        <v>0.49121090000000001</v>
      </c>
      <c r="AO5">
        <v>8124461.8629062055</v>
      </c>
      <c r="AP5">
        <v>8415199.3353819549</v>
      </c>
      <c r="AQ5">
        <v>410.15768835215738</v>
      </c>
      <c r="AR5">
        <v>0.58452720000000002</v>
      </c>
      <c r="AS5">
        <v>2186641.9673458883</v>
      </c>
      <c r="AT5">
        <v>1554230.9421541113</v>
      </c>
      <c r="AU5">
        <v>10311103.830252094</v>
      </c>
      <c r="AV5">
        <v>9969430.2775360662</v>
      </c>
      <c r="AW5">
        <v>46637136758.180962</v>
      </c>
      <c r="AX5">
        <v>40396538205.215828</v>
      </c>
      <c r="AY5">
        <v>173280145833.33331</v>
      </c>
      <c r="AZ5">
        <v>200145284722.2222</v>
      </c>
      <c r="BA5">
        <v>203429192069.91467</v>
      </c>
      <c r="BB5">
        <v>576854622625.47021</v>
      </c>
      <c r="BC5">
        <v>671628472222.22217</v>
      </c>
      <c r="BD5">
        <v>0.85888947012151973</v>
      </c>
      <c r="BE5">
        <v>0.85888947012151973</v>
      </c>
      <c r="BF5">
        <v>18607860.335308399</v>
      </c>
      <c r="BG5">
        <v>671628472222.22217</v>
      </c>
      <c r="BH5">
        <v>576854622625.47021</v>
      </c>
      <c r="BI5">
        <v>219917282591.51428</v>
      </c>
      <c r="BJ5">
        <v>29249.563288137888</v>
      </c>
      <c r="BK5">
        <v>25122.141913834606</v>
      </c>
      <c r="BL5">
        <v>21328.199794312182</v>
      </c>
      <c r="BM5">
        <v>562.4916016949594</v>
      </c>
      <c r="BN5">
        <v>483.11811372758859</v>
      </c>
      <c r="BO5">
        <v>410.15768835215738</v>
      </c>
      <c r="BP5">
        <v>386023426061.49347</v>
      </c>
      <c r="BQ5">
        <v>386023426061.49341</v>
      </c>
      <c r="BR5">
        <v>480797275658.24536</v>
      </c>
      <c r="BS5">
        <v>837734615692.20129</v>
      </c>
      <c r="BT5">
        <v>539531574025.53467</v>
      </c>
      <c r="BU5">
        <v>742960766095.44934</v>
      </c>
      <c r="BV5">
        <v>38.5</v>
      </c>
      <c r="BW5">
        <v>15.1</v>
      </c>
      <c r="BX5">
        <v>8.9</v>
      </c>
      <c r="BY5">
        <v>16418749.13244834</v>
      </c>
      <c r="BZ5">
        <v>5399488.3628606834</v>
      </c>
      <c r="CA5">
        <v>1275883.0927183544</v>
      </c>
      <c r="CB5">
        <v>23094120.58802738</v>
      </c>
      <c r="CC5">
        <v>22962000</v>
      </c>
      <c r="CD5">
        <v>-132120.58802738041</v>
      </c>
      <c r="CE5">
        <v>0.71094931152997731</v>
      </c>
      <c r="CF5">
        <v>0.23380359266245127</v>
      </c>
      <c r="CG5">
        <v>5.5247095807571339E-2</v>
      </c>
      <c r="CH5">
        <v>31.393681895794519</v>
      </c>
      <c r="CI5">
        <v>854904204.7046293</v>
      </c>
      <c r="CJ5">
        <v>725009475.40365064</v>
      </c>
      <c r="CK5">
        <v>31.5</v>
      </c>
      <c r="CL5">
        <v>31.287363791589037</v>
      </c>
      <c r="CM5">
        <v>34.72</v>
      </c>
      <c r="CN5">
        <v>42.21</v>
      </c>
      <c r="CO5">
        <v>32.18</v>
      </c>
      <c r="CP5">
        <v>43.89</v>
      </c>
      <c r="CQ5">
        <v>36.953018305277723</v>
      </c>
      <c r="CR5">
        <v>36.497539537459403</v>
      </c>
      <c r="CS5">
        <v>36.308379731699425</v>
      </c>
      <c r="CT5">
        <v>33.462785822623104</v>
      </c>
      <c r="CU5">
        <v>1921.5569518744417</v>
      </c>
      <c r="CV5">
        <v>1897.8720559478888</v>
      </c>
      <c r="CW5">
        <v>1888.0357460483701</v>
      </c>
      <c r="CX5">
        <v>360357627.44753438</v>
      </c>
      <c r="CY5">
        <v>282081315.88010347</v>
      </c>
      <c r="CZ5">
        <v>428815474.10806727</v>
      </c>
      <c r="DA5">
        <v>92298157.441669941</v>
      </c>
      <c r="DB5">
        <v>848515206.32578707</v>
      </c>
      <c r="DC5">
        <v>1204672987.6648853</v>
      </c>
      <c r="DD5">
        <v>374379473.32177341</v>
      </c>
      <c r="DE5">
        <v>44122790728.940926</v>
      </c>
      <c r="DF5">
        <v>62642995358.574036</v>
      </c>
      <c r="DG5">
        <v>19467732612.732216</v>
      </c>
      <c r="DH5">
        <v>1921.5569518744414</v>
      </c>
      <c r="DI5">
        <v>1897.8720559478891</v>
      </c>
      <c r="DJ5">
        <v>1888.0357460483697</v>
      </c>
      <c r="DK5">
        <v>23.97064829333161</v>
      </c>
      <c r="DL5">
        <v>16.883801488572228</v>
      </c>
      <c r="DM5">
        <v>54.328458240277754</v>
      </c>
      <c r="DN5">
        <v>0.57475738749468852</v>
      </c>
      <c r="DO5">
        <v>3.8093168750554853</v>
      </c>
      <c r="DP5">
        <v>0.57475738749468863</v>
      </c>
      <c r="DQ5">
        <v>0.57475738749468863</v>
      </c>
      <c r="DR5">
        <v>3.3783646166429904</v>
      </c>
      <c r="DS5">
        <v>0.83348084040648962</v>
      </c>
      <c r="DT5">
        <v>2.453338672011915</v>
      </c>
      <c r="DU5">
        <v>3.3783646166429904</v>
      </c>
      <c r="DV5">
        <v>23.465848516555923</v>
      </c>
      <c r="DW5">
        <v>13.487169788721801</v>
      </c>
      <c r="DX5">
        <v>19.906147221788128</v>
      </c>
      <c r="DY5">
        <v>16.591392315671275</v>
      </c>
      <c r="DZ5">
        <v>8.2926806949070482</v>
      </c>
      <c r="EA5">
        <v>28.015699036792377</v>
      </c>
      <c r="EB5">
        <v>12.433018305277724</v>
      </c>
      <c r="EC5">
        <v>15.947539537459402</v>
      </c>
      <c r="ED5">
        <v>26.878379731699425</v>
      </c>
      <c r="EE5">
        <v>50.705621147135901</v>
      </c>
      <c r="EF5">
        <v>77.603598722430178</v>
      </c>
      <c r="EG5">
        <v>285.03053798196635</v>
      </c>
      <c r="EH5">
        <v>10.721525501418977</v>
      </c>
      <c r="EI5">
        <v>9.208605356808107</v>
      </c>
      <c r="EJ5">
        <v>11.296502112818459</v>
      </c>
      <c r="EK5">
        <v>67.2</v>
      </c>
      <c r="EL5">
        <v>2.8034285588635646</v>
      </c>
      <c r="EM5">
        <v>3.9801462985385254</v>
      </c>
      <c r="EN5">
        <v>1.2369207994601181</v>
      </c>
      <c r="EO5">
        <v>4.1717686887850665E-2</v>
      </c>
      <c r="EP5">
        <v>5.9228367537775675E-2</v>
      </c>
      <c r="EQ5">
        <v>1.8406559515775568E-2</v>
      </c>
      <c r="ER5">
        <v>0.44727724382830297</v>
      </c>
      <c r="ES5">
        <v>0.54541066258336046</v>
      </c>
      <c r="ET5">
        <v>0.20792973845967741</v>
      </c>
      <c r="EU5">
        <v>859.46869729351522</v>
      </c>
      <c r="EV5">
        <v>1035.1196555329827</v>
      </c>
      <c r="EW5">
        <v>392.5787788783594</v>
      </c>
      <c r="EX5">
        <v>245797</v>
      </c>
      <c r="EY5">
        <v>21683</v>
      </c>
      <c r="EZ5">
        <v>224114</v>
      </c>
      <c r="FA5">
        <v>101.71650055371001</v>
      </c>
      <c r="FB5">
        <v>112.3799732458116</v>
      </c>
      <c r="FC5">
        <v>95.70085039378435</v>
      </c>
      <c r="FD5">
        <v>97.662344596102827</v>
      </c>
      <c r="FE5">
        <v>96.382416028371736</v>
      </c>
      <c r="FF5">
        <v>107.52212209026233</v>
      </c>
      <c r="FG5">
        <v>97.658786862074876</v>
      </c>
      <c r="FH5">
        <v>109.73925794697008</v>
      </c>
      <c r="FI5">
        <v>102.06115377691354</v>
      </c>
      <c r="FJ5">
        <v>91.151160595877741</v>
      </c>
      <c r="FK5">
        <v>95.526921282024219</v>
      </c>
      <c r="FL5">
        <v>110.56844458789934</v>
      </c>
      <c r="FM5">
        <v>96.866896456389924</v>
      </c>
      <c r="FN5">
        <v>96.517698171444295</v>
      </c>
      <c r="FO5">
        <v>96.707841911657127</v>
      </c>
      <c r="FP5">
        <v>108.50942365820599</v>
      </c>
      <c r="FQ5">
        <v>100.25931297488242</v>
      </c>
      <c r="FR5">
        <v>110.81354219985688</v>
      </c>
      <c r="FS5">
        <v>99.617636420912376</v>
      </c>
      <c r="FT5">
        <v>92.772190444789999</v>
      </c>
      <c r="FU5">
        <v>97.076738988744523</v>
      </c>
      <c r="FV5">
        <v>111.44299126210822</v>
      </c>
      <c r="FW5">
        <v>87.939349892969759</v>
      </c>
      <c r="FX5">
        <v>99.806551609520398</v>
      </c>
      <c r="FY5">
        <v>96.796533542253869</v>
      </c>
      <c r="FZ5">
        <v>98.578395247279943</v>
      </c>
      <c r="GA5">
        <v>91.197253710384828</v>
      </c>
      <c r="GB5">
        <v>101.86205692352081</v>
      </c>
      <c r="GC5">
        <v>113.52184225066837</v>
      </c>
      <c r="GD5">
        <v>95.720725540240124</v>
      </c>
      <c r="GE5">
        <v>96.318392731670926</v>
      </c>
      <c r="GF5">
        <v>67.2</v>
      </c>
      <c r="GG5">
        <v>107.34824281150159</v>
      </c>
      <c r="GH5">
        <v>101.71650055370986</v>
      </c>
      <c r="GI5">
        <v>245797</v>
      </c>
      <c r="GJ5">
        <v>101.9371614840374</v>
      </c>
      <c r="GK5">
        <v>103.57854436862048</v>
      </c>
      <c r="GL5">
        <v>71.0784374106115</v>
      </c>
      <c r="GM5">
        <v>96.686353291161893</v>
      </c>
      <c r="GN5">
        <v>123.42451872318038</v>
      </c>
      <c r="GO5">
        <v>115.50387596899223</v>
      </c>
    </row>
    <row r="6" spans="1:197" x14ac:dyDescent="0.35">
      <c r="A6">
        <v>1996</v>
      </c>
      <c r="B6">
        <v>405288000000</v>
      </c>
      <c r="C6">
        <v>59</v>
      </c>
      <c r="D6">
        <v>0.59</v>
      </c>
      <c r="E6">
        <v>6869288135.5932207</v>
      </c>
      <c r="F6">
        <v>686928813559.32202</v>
      </c>
      <c r="G6">
        <v>31763000000</v>
      </c>
      <c r="H6">
        <v>9647000000</v>
      </c>
      <c r="I6">
        <v>187245000000</v>
      </c>
      <c r="J6">
        <v>64368000000</v>
      </c>
      <c r="K6">
        <v>73</v>
      </c>
      <c r="L6">
        <v>0.73</v>
      </c>
      <c r="M6">
        <v>435109589.04109591</v>
      </c>
      <c r="N6">
        <v>2565000000</v>
      </c>
      <c r="O6">
        <v>2565000000</v>
      </c>
      <c r="P6">
        <v>43510958904.109589</v>
      </c>
      <c r="Q6">
        <v>13215068493.150684</v>
      </c>
      <c r="R6">
        <v>256500000000</v>
      </c>
      <c r="S6">
        <v>313226027397.26025</v>
      </c>
      <c r="T6">
        <v>881753424.65753424</v>
      </c>
      <c r="U6">
        <v>88175342465.753433</v>
      </c>
      <c r="V6">
        <v>1088330183422.3357</v>
      </c>
      <c r="W6">
        <v>698311000000</v>
      </c>
      <c r="X6">
        <v>60.752749999999999</v>
      </c>
      <c r="Y6">
        <v>0.6075275</v>
      </c>
      <c r="Z6">
        <v>1149431095711.7168</v>
      </c>
      <c r="AA6">
        <v>0.26200000000000001</v>
      </c>
      <c r="AB6">
        <v>0.30499999999999999</v>
      </c>
      <c r="AC6">
        <v>0.56699999999999995</v>
      </c>
      <c r="AD6">
        <v>0.28900281923740251</v>
      </c>
      <c r="AE6">
        <v>0.85600281923740251</v>
      </c>
      <c r="AF6">
        <v>0.14399718076259749</v>
      </c>
      <c r="AG6">
        <v>2732000</v>
      </c>
      <c r="AH6">
        <v>20519000</v>
      </c>
      <c r="AI6">
        <v>23251000</v>
      </c>
      <c r="AJ6">
        <v>0.18561119999999998</v>
      </c>
      <c r="AK6">
        <v>3808556.2127999994</v>
      </c>
      <c r="AL6">
        <v>0.8224794983116257</v>
      </c>
      <c r="AM6">
        <v>16876456.825856246</v>
      </c>
      <c r="AN6">
        <v>0.4834154</v>
      </c>
      <c r="AO6">
        <v>8158339.1270540273</v>
      </c>
      <c r="AP6">
        <v>8718117.6988022197</v>
      </c>
      <c r="AQ6">
        <v>424.23639822747231</v>
      </c>
      <c r="AR6">
        <v>0.59942359999999995</v>
      </c>
      <c r="AS6">
        <v>2282938.4758789414</v>
      </c>
      <c r="AT6">
        <v>1525617.7369210578</v>
      </c>
      <c r="AU6">
        <v>10441277.602932969</v>
      </c>
      <c r="AV6">
        <v>10243735.435723277</v>
      </c>
      <c r="AW6">
        <v>50362291011.853455</v>
      </c>
      <c r="AX6">
        <v>37813051453.899979</v>
      </c>
      <c r="AY6">
        <v>179975349152.54239</v>
      </c>
      <c r="AZ6">
        <v>209513288135.5932</v>
      </c>
      <c r="BA6">
        <v>198524363734.04813</v>
      </c>
      <c r="BB6">
        <v>588013001022.18372</v>
      </c>
      <c r="BC6">
        <v>686928813559.32202</v>
      </c>
      <c r="BD6">
        <v>0.85600281923740251</v>
      </c>
      <c r="BE6">
        <v>0.85600281923740251</v>
      </c>
      <c r="BF6">
        <v>18116162.329797588</v>
      </c>
      <c r="BG6">
        <v>686928813559.32202</v>
      </c>
      <c r="BH6">
        <v>588013001022.18372</v>
      </c>
      <c r="BI6">
        <v>230337640164.39584</v>
      </c>
      <c r="BJ6">
        <v>29544.054602353535</v>
      </c>
      <c r="BK6">
        <v>25289.794031318383</v>
      </c>
      <c r="BL6">
        <v>22060.292707828561</v>
      </c>
      <c r="BM6">
        <v>568.15489619910647</v>
      </c>
      <c r="BN6">
        <v>486.3421929099689</v>
      </c>
      <c r="BO6">
        <v>424.23639822747231</v>
      </c>
      <c r="BP6">
        <v>401401369863.01367</v>
      </c>
      <c r="BQ6">
        <v>401401369863.01367</v>
      </c>
      <c r="BR6">
        <v>500317182400.15198</v>
      </c>
      <c r="BS6">
        <v>857992543257.93982</v>
      </c>
      <c r="BT6">
        <v>560552366986.75342</v>
      </c>
      <c r="BU6">
        <v>759076730720.80151</v>
      </c>
      <c r="BV6">
        <v>38.700000000000003</v>
      </c>
      <c r="BW6">
        <v>15.1</v>
      </c>
      <c r="BX6">
        <v>9.1</v>
      </c>
      <c r="BY6">
        <v>16546621.531333238</v>
      </c>
      <c r="BZ6">
        <v>5633470.5041048592</v>
      </c>
      <c r="CA6">
        <v>1272966.0891011935</v>
      </c>
      <c r="CB6">
        <v>23453058.124539293</v>
      </c>
      <c r="CC6">
        <v>23251000</v>
      </c>
      <c r="CD6">
        <v>-202058.12453929335</v>
      </c>
      <c r="CE6">
        <v>0.70552085120278007</v>
      </c>
      <c r="CF6">
        <v>0.24020195891684049</v>
      </c>
      <c r="CG6">
        <v>5.4277189880379377E-2</v>
      </c>
      <c r="CH6">
        <v>31.424628949103333</v>
      </c>
      <c r="CI6">
        <v>862773369.59395158</v>
      </c>
      <c r="CJ6">
        <v>737003649.28540063</v>
      </c>
      <c r="CK6">
        <v>31.21</v>
      </c>
      <c r="CL6">
        <v>31.639257898206665</v>
      </c>
      <c r="CM6">
        <v>34.96</v>
      </c>
      <c r="CN6">
        <v>42.64</v>
      </c>
      <c r="CO6">
        <v>32.01</v>
      </c>
      <c r="CP6">
        <v>42.89</v>
      </c>
      <c r="CQ6">
        <v>37.063272611970021</v>
      </c>
      <c r="CR6">
        <v>36.588204721305807</v>
      </c>
      <c r="CS6">
        <v>36.639197523665608</v>
      </c>
      <c r="CT6">
        <v>33.1207748804758</v>
      </c>
      <c r="CU6">
        <v>1927.2901758224411</v>
      </c>
      <c r="CV6">
        <v>1902.5866455079019</v>
      </c>
      <c r="CW6">
        <v>1905.2382712306116</v>
      </c>
      <c r="CX6">
        <v>363431549.78913236</v>
      </c>
      <c r="CY6">
        <v>285215535.88180882</v>
      </c>
      <c r="CZ6">
        <v>450646479.04924196</v>
      </c>
      <c r="DA6">
        <v>97344496.61147806</v>
      </c>
      <c r="DB6">
        <v>861758151.50091493</v>
      </c>
      <c r="DC6">
        <v>1231586356.2529802</v>
      </c>
      <c r="DD6">
        <v>382560032.49328685</v>
      </c>
      <c r="DE6">
        <v>44811423878.047577</v>
      </c>
      <c r="DF6">
        <v>64042490525.154968</v>
      </c>
      <c r="DG6">
        <v>19893121689.650917</v>
      </c>
      <c r="DH6">
        <v>1927.2901758224411</v>
      </c>
      <c r="DI6">
        <v>1902.5866455079019</v>
      </c>
      <c r="DJ6">
        <v>1905.2382712306119</v>
      </c>
      <c r="DK6">
        <v>24.286891360207186</v>
      </c>
      <c r="DL6">
        <v>16.993876635619834</v>
      </c>
      <c r="DM6">
        <v>54.708868743738812</v>
      </c>
      <c r="DN6">
        <v>0.58434201905602456</v>
      </c>
      <c r="DO6">
        <v>3.7249341559876021</v>
      </c>
      <c r="DP6">
        <v>0.58434201905602456</v>
      </c>
      <c r="DQ6">
        <v>0.58434201905602456</v>
      </c>
      <c r="DR6">
        <v>3.2954958216079477</v>
      </c>
      <c r="DS6">
        <v>0.85086074887870844</v>
      </c>
      <c r="DT6">
        <v>2.4336116606329639</v>
      </c>
      <c r="DU6">
        <v>3.2954958216079477</v>
      </c>
      <c r="DV6">
        <v>23.393479543042663</v>
      </c>
      <c r="DW6">
        <v>13.669793068927358</v>
      </c>
      <c r="DX6">
        <v>19.768210408844499</v>
      </c>
      <c r="DY6">
        <v>16.819994312461308</v>
      </c>
      <c r="DZ6">
        <v>8.5296783061356418</v>
      </c>
      <c r="EA6">
        <v>28.109519217529964</v>
      </c>
      <c r="EB6">
        <v>12.543272611970021</v>
      </c>
      <c r="EC6">
        <v>16.038204721305807</v>
      </c>
      <c r="ED6">
        <v>27.209197523665608</v>
      </c>
      <c r="EE6">
        <v>51.155271663825545</v>
      </c>
      <c r="EF6">
        <v>78.044791831171807</v>
      </c>
      <c r="EG6">
        <v>288.53867999645394</v>
      </c>
      <c r="EH6">
        <v>10.72614147148925</v>
      </c>
      <c r="EI6">
        <v>9.1816073391340183</v>
      </c>
      <c r="EJ6">
        <v>11.578757912300178</v>
      </c>
      <c r="EK6">
        <v>68.8</v>
      </c>
      <c r="EL6">
        <v>2.8328038767746637</v>
      </c>
      <c r="EM6">
        <v>4.0485170909027604</v>
      </c>
      <c r="EN6">
        <v>1.2575657581637321</v>
      </c>
      <c r="EO6">
        <v>4.1174474953120113E-2</v>
      </c>
      <c r="EP6">
        <v>5.8844725158470355E-2</v>
      </c>
      <c r="EQ6">
        <v>1.8278572066333314E-2</v>
      </c>
      <c r="ER6">
        <v>0.44164324336145699</v>
      </c>
      <c r="ES6">
        <v>0.54028916038433561</v>
      </c>
      <c r="ET6">
        <v>0.21164316093860588</v>
      </c>
      <c r="EU6">
        <v>851.17468414889561</v>
      </c>
      <c r="EV6">
        <v>1027.946941259914</v>
      </c>
      <c r="EW6">
        <v>403.23065006445165</v>
      </c>
      <c r="EX6">
        <v>257320</v>
      </c>
      <c r="EY6">
        <v>21783</v>
      </c>
      <c r="EZ6">
        <v>235537</v>
      </c>
      <c r="FA6">
        <v>106.90094947624493</v>
      </c>
      <c r="FB6">
        <v>113.86259428132766</v>
      </c>
      <c r="FC6">
        <v>95.405707761185411</v>
      </c>
      <c r="FD6">
        <v>98.984743439010558</v>
      </c>
      <c r="FE6">
        <v>96.669985946713666</v>
      </c>
      <c r="FF6">
        <v>108.60467948538275</v>
      </c>
      <c r="FG6">
        <v>96.428655755776632</v>
      </c>
      <c r="FH6">
        <v>109.78650431411721</v>
      </c>
      <c r="FI6">
        <v>103.76312155838134</v>
      </c>
      <c r="FJ6">
        <v>91.959476627346191</v>
      </c>
      <c r="FK6">
        <v>96.527886215785728</v>
      </c>
      <c r="FL6">
        <v>111.28930344217312</v>
      </c>
      <c r="FM6">
        <v>96.195671089267634</v>
      </c>
      <c r="FN6">
        <v>97.847552719379323</v>
      </c>
      <c r="FO6">
        <v>96.94807822285587</v>
      </c>
      <c r="FP6">
        <v>109.23355915213155</v>
      </c>
      <c r="FQ6">
        <v>99.317860364767569</v>
      </c>
      <c r="FR6">
        <v>110.48865630726856</v>
      </c>
      <c r="FS6">
        <v>101.69488321445577</v>
      </c>
      <c r="FT6">
        <v>93.299620251924409</v>
      </c>
      <c r="FU6">
        <v>98.744319290311239</v>
      </c>
      <c r="FV6">
        <v>112.22332049997705</v>
      </c>
      <c r="FW6">
        <v>90.452580128691864</v>
      </c>
      <c r="FX6">
        <v>100.14078809237607</v>
      </c>
      <c r="FY6">
        <v>97.678479135338875</v>
      </c>
      <c r="FZ6">
        <v>101.96211001375528</v>
      </c>
      <c r="GA6">
        <v>92.825947780090303</v>
      </c>
      <c r="GB6">
        <v>104.40719488097545</v>
      </c>
      <c r="GC6">
        <v>110.73723509751299</v>
      </c>
      <c r="GD6">
        <v>96.898851580005726</v>
      </c>
      <c r="GE6">
        <v>97.926005152136113</v>
      </c>
      <c r="GF6">
        <v>68.8</v>
      </c>
      <c r="GG6">
        <v>109.90415335463257</v>
      </c>
      <c r="GH6">
        <v>106.90094947624493</v>
      </c>
      <c r="GI6">
        <v>257320</v>
      </c>
      <c r="GJ6">
        <v>106.71599080978409</v>
      </c>
      <c r="GK6">
        <v>106.86142808028045</v>
      </c>
      <c r="GL6">
        <v>66.826931739090696</v>
      </c>
      <c r="GM6">
        <v>98.108065174378638</v>
      </c>
      <c r="GN6">
        <v>124.27344554155302</v>
      </c>
      <c r="GO6">
        <v>116.412213740458</v>
      </c>
    </row>
    <row r="7" spans="1:197" x14ac:dyDescent="0.35">
      <c r="A7">
        <v>1997</v>
      </c>
      <c r="B7">
        <v>438289000000</v>
      </c>
      <c r="C7">
        <v>60.8</v>
      </c>
      <c r="D7">
        <v>0.60799999999999998</v>
      </c>
      <c r="E7">
        <v>7208700657.8947372</v>
      </c>
      <c r="F7">
        <v>720870065789.47375</v>
      </c>
      <c r="G7">
        <v>29175000000</v>
      </c>
      <c r="H7">
        <v>8190000000</v>
      </c>
      <c r="I7">
        <v>192911000000</v>
      </c>
      <c r="J7">
        <v>58373000000</v>
      </c>
      <c r="K7">
        <v>69.7</v>
      </c>
      <c r="L7">
        <v>0.69700000000000006</v>
      </c>
      <c r="M7">
        <v>418579626.97274029</v>
      </c>
      <c r="N7">
        <v>2767733142.0373025</v>
      </c>
      <c r="O7">
        <v>2767733142.0373025</v>
      </c>
      <c r="P7">
        <v>41857962697.274025</v>
      </c>
      <c r="Q7">
        <v>11750358680.057388</v>
      </c>
      <c r="R7">
        <v>276773314203.73022</v>
      </c>
      <c r="S7">
        <v>330381635581.06165</v>
      </c>
      <c r="T7">
        <v>837489239.59827828</v>
      </c>
      <c r="U7">
        <v>83748923959.82782</v>
      </c>
      <c r="V7">
        <v>1135000625330.3633</v>
      </c>
      <c r="W7">
        <v>726938000000</v>
      </c>
      <c r="X7">
        <v>60.545774999999999</v>
      </c>
      <c r="Y7">
        <v>0.60545775000000002</v>
      </c>
      <c r="Z7">
        <v>1200641993599.0579</v>
      </c>
      <c r="AA7">
        <v>0.27200000000000002</v>
      </c>
      <c r="AB7">
        <v>0.308</v>
      </c>
      <c r="AC7">
        <v>0.58000000000000007</v>
      </c>
      <c r="AD7">
        <v>0.27453081416097047</v>
      </c>
      <c r="AE7">
        <v>0.85453081416097054</v>
      </c>
      <c r="AF7">
        <v>0.14546918583902946</v>
      </c>
      <c r="AG7">
        <v>2726000</v>
      </c>
      <c r="AH7">
        <v>21098000</v>
      </c>
      <c r="AI7">
        <v>23824000</v>
      </c>
      <c r="AJ7">
        <v>0.19035409999999997</v>
      </c>
      <c r="AK7">
        <v>4016090.8017999995</v>
      </c>
      <c r="AL7">
        <v>0.82024554088487378</v>
      </c>
      <c r="AM7">
        <v>17305540.421589065</v>
      </c>
      <c r="AN7">
        <v>0.50031680000000001</v>
      </c>
      <c r="AO7">
        <v>8658252.6060000919</v>
      </c>
      <c r="AP7">
        <v>8647287.8155889735</v>
      </c>
      <c r="AQ7">
        <v>435.50415206194214</v>
      </c>
      <c r="AR7">
        <v>0.61320750000000002</v>
      </c>
      <c r="AS7">
        <v>2462697.0003447733</v>
      </c>
      <c r="AT7">
        <v>1553393.8014552263</v>
      </c>
      <c r="AU7">
        <v>11120949.606344866</v>
      </c>
      <c r="AV7">
        <v>10200681.617044199</v>
      </c>
      <c r="AW7">
        <v>55770767983.873222</v>
      </c>
      <c r="AX7">
        <v>27978155975.954597</v>
      </c>
      <c r="AY7">
        <v>196076657894.73688</v>
      </c>
      <c r="AZ7">
        <v>222027980263.15793</v>
      </c>
      <c r="BA7">
        <v>197901046065.45657</v>
      </c>
      <c r="BB7">
        <v>616005684223.35132</v>
      </c>
      <c r="BC7">
        <v>720870065789.47375</v>
      </c>
      <c r="BD7">
        <v>0.85453081416097043</v>
      </c>
      <c r="BE7">
        <v>0.85453081416097054</v>
      </c>
      <c r="BF7">
        <v>18482008.603810705</v>
      </c>
      <c r="BG7">
        <v>720870065789.47375</v>
      </c>
      <c r="BH7">
        <v>616005684223.35144</v>
      </c>
      <c r="BI7">
        <v>251847425878.61011</v>
      </c>
      <c r="BJ7">
        <v>30258.14581050511</v>
      </c>
      <c r="BK7">
        <v>25856.517974452294</v>
      </c>
      <c r="BL7">
        <v>22646.215907220991</v>
      </c>
      <c r="BM7">
        <v>581.88741943279058</v>
      </c>
      <c r="BN7">
        <v>497.24073027792872</v>
      </c>
      <c r="BO7">
        <v>435.50415206194214</v>
      </c>
      <c r="BP7">
        <v>414130559540.88947</v>
      </c>
      <c r="BQ7">
        <v>414130559540.88953</v>
      </c>
      <c r="BR7">
        <v>518994941107.01196</v>
      </c>
      <c r="BS7">
        <v>883153199451.75317</v>
      </c>
      <c r="BT7">
        <v>580387771820.17419</v>
      </c>
      <c r="BU7">
        <v>778288817885.63074</v>
      </c>
      <c r="BV7">
        <v>38.6</v>
      </c>
      <c r="BW7">
        <v>15.3</v>
      </c>
      <c r="BX7">
        <v>9.3000000000000007</v>
      </c>
      <c r="BY7">
        <v>16932174.768628765</v>
      </c>
      <c r="BZ7">
        <v>5755978.0264617018</v>
      </c>
      <c r="CA7">
        <v>1244859.7070468005</v>
      </c>
      <c r="CB7">
        <v>23933012.502137266</v>
      </c>
      <c r="CC7">
        <v>23824000</v>
      </c>
      <c r="CD7">
        <v>-109012.5021372661</v>
      </c>
      <c r="CE7">
        <v>0.70748196730840662</v>
      </c>
      <c r="CF7">
        <v>0.24050369864419205</v>
      </c>
      <c r="CG7">
        <v>5.2014334047401349E-2</v>
      </c>
      <c r="CH7">
        <v>31.472243834001468</v>
      </c>
      <c r="CI7">
        <v>877330022.94291627</v>
      </c>
      <c r="CJ7">
        <v>753225605.14946961</v>
      </c>
      <c r="CK7">
        <v>31.31</v>
      </c>
      <c r="CL7">
        <v>31.634487668002937</v>
      </c>
      <c r="CM7">
        <v>34.49</v>
      </c>
      <c r="CN7">
        <v>40.78</v>
      </c>
      <c r="CO7">
        <v>32.74</v>
      </c>
      <c r="CP7">
        <v>43</v>
      </c>
      <c r="CQ7">
        <v>36.464757222270364</v>
      </c>
      <c r="CR7">
        <v>36.054463487411702</v>
      </c>
      <c r="CS7">
        <v>35.88289940881765</v>
      </c>
      <c r="CT7">
        <v>33.671379046812454</v>
      </c>
      <c r="CU7">
        <v>1896.1673755580589</v>
      </c>
      <c r="CV7">
        <v>1874.8321013454085</v>
      </c>
      <c r="CW7">
        <v>1865.9107692585178</v>
      </c>
      <c r="CX7">
        <v>378768541.65165257</v>
      </c>
      <c r="CY7">
        <v>298623132.38094318</v>
      </c>
      <c r="CZ7">
        <v>464233282.80172831</v>
      </c>
      <c r="DA7">
        <v>100428783.67405985</v>
      </c>
      <c r="DB7">
        <v>868736376.06336915</v>
      </c>
      <c r="DC7">
        <v>1234804544.8108547</v>
      </c>
      <c r="DD7">
        <v>399051916.05500305</v>
      </c>
      <c r="DE7">
        <v>45174291555.295197</v>
      </c>
      <c r="DF7">
        <v>64209836330.164444</v>
      </c>
      <c r="DG7">
        <v>20750699634.860157</v>
      </c>
      <c r="DH7">
        <v>1896.1673755580589</v>
      </c>
      <c r="DI7">
        <v>1874.8321013454085</v>
      </c>
      <c r="DJ7">
        <v>1865.9107692585176</v>
      </c>
      <c r="DK7">
        <v>25.124923629207903</v>
      </c>
      <c r="DL7">
        <v>17.676429192160448</v>
      </c>
      <c r="DM7">
        <v>54.696981080272494</v>
      </c>
      <c r="DN7">
        <v>0.57448710827983551</v>
      </c>
      <c r="DO7">
        <v>3.5066993294481041</v>
      </c>
      <c r="DP7">
        <v>0.5744871082798354</v>
      </c>
      <c r="DQ7">
        <v>0.5744871082798354</v>
      </c>
      <c r="DR7">
        <v>3.0903187323453691</v>
      </c>
      <c r="DS7">
        <v>0.8425164806090244</v>
      </c>
      <c r="DT7">
        <v>2.3045213577045645</v>
      </c>
      <c r="DU7">
        <v>3.0903187323453691</v>
      </c>
      <c r="DV7">
        <v>23.159768683091336</v>
      </c>
      <c r="DW7">
        <v>13.304988539179028</v>
      </c>
      <c r="DX7">
        <v>19.568054813541902</v>
      </c>
      <c r="DY7">
        <v>16.4864086738698</v>
      </c>
      <c r="DZ7">
        <v>8.7726413897927618</v>
      </c>
      <c r="EA7">
        <v>27.11025801902489</v>
      </c>
      <c r="EB7">
        <v>11.944757222270365</v>
      </c>
      <c r="EC7">
        <v>15.504463487411702</v>
      </c>
      <c r="ED7">
        <v>26.45289940881765</v>
      </c>
      <c r="EE7">
        <v>48.71434429963444</v>
      </c>
      <c r="EF7">
        <v>75.447510887648178</v>
      </c>
      <c r="EG7">
        <v>280.51855152510763</v>
      </c>
      <c r="EH7">
        <v>11.226785598436793</v>
      </c>
      <c r="EI7">
        <v>9.5936342378428527</v>
      </c>
      <c r="EJ7">
        <v>12.136816122359498</v>
      </c>
      <c r="EK7">
        <v>70.099999999999994</v>
      </c>
      <c r="EL7">
        <v>2.7900582319982954</v>
      </c>
      <c r="EM7">
        <v>3.9657330809261842</v>
      </c>
      <c r="EN7">
        <v>1.2816063814769274</v>
      </c>
      <c r="EO7">
        <v>3.9801116005681821E-2</v>
      </c>
      <c r="EP7">
        <v>5.6572511853440574E-2</v>
      </c>
      <c r="EQ7">
        <v>1.8282544671568153E-2</v>
      </c>
      <c r="ER7">
        <v>0.44683859597430081</v>
      </c>
      <c r="ES7">
        <v>0.54273598663793809</v>
      </c>
      <c r="ET7">
        <v>0.22189188292764611</v>
      </c>
      <c r="EU7">
        <v>847.28076782663777</v>
      </c>
      <c r="EV7">
        <v>1017.538850304179</v>
      </c>
      <c r="EW7">
        <v>414.0304539657451</v>
      </c>
      <c r="EX7">
        <v>246458</v>
      </c>
      <c r="EY7">
        <v>22002</v>
      </c>
      <c r="EZ7">
        <v>224456</v>
      </c>
      <c r="FA7">
        <v>101.87172085761486</v>
      </c>
      <c r="FB7">
        <v>117.79148443135445</v>
      </c>
      <c r="FC7">
        <v>94.452563960405129</v>
      </c>
      <c r="FD7">
        <v>96.343146554518668</v>
      </c>
      <c r="FE7">
        <v>95.108912942802192</v>
      </c>
      <c r="FF7">
        <v>111.22969652615322</v>
      </c>
      <c r="FG7">
        <v>97.563012221463055</v>
      </c>
      <c r="FH7">
        <v>114.91080448758233</v>
      </c>
      <c r="FI7">
        <v>102.01315959865673</v>
      </c>
      <c r="FJ7">
        <v>87.571533887612645</v>
      </c>
      <c r="FK7">
        <v>95.071326949885687</v>
      </c>
      <c r="FL7">
        <v>115.7591957574358</v>
      </c>
      <c r="FM7">
        <v>95.22167792477812</v>
      </c>
      <c r="FN7">
        <v>95.90697308824781</v>
      </c>
      <c r="FO7">
        <v>95.533819521493641</v>
      </c>
      <c r="FP7">
        <v>111.68139535390469</v>
      </c>
      <c r="FQ7">
        <v>99.767644602562143</v>
      </c>
      <c r="FR7">
        <v>115.44686206790435</v>
      </c>
      <c r="FS7">
        <v>100.69757620703548</v>
      </c>
      <c r="FT7">
        <v>90.194668338637001</v>
      </c>
      <c r="FU7">
        <v>96.725197095760592</v>
      </c>
      <c r="FV7">
        <v>112.19893554927691</v>
      </c>
      <c r="FW7">
        <v>93.029070941598746</v>
      </c>
      <c r="FX7">
        <v>96.580897823387573</v>
      </c>
      <c r="FY7">
        <v>95.662221831025462</v>
      </c>
      <c r="FZ7">
        <v>104.67023209115915</v>
      </c>
      <c r="GA7">
        <v>97.321001284055313</v>
      </c>
      <c r="GB7">
        <v>109.43927973272767</v>
      </c>
      <c r="GC7">
        <v>103.84275098944103</v>
      </c>
      <c r="GD7">
        <v>94.205482225134091</v>
      </c>
      <c r="GE7">
        <v>99.798036246451289</v>
      </c>
      <c r="GF7">
        <v>70.099999999999994</v>
      </c>
      <c r="GG7">
        <v>111.98083067092651</v>
      </c>
      <c r="GH7">
        <v>101.87172085761486</v>
      </c>
      <c r="GI7">
        <v>246458</v>
      </c>
      <c r="GJ7">
        <v>102.21129202159867</v>
      </c>
      <c r="GK7">
        <v>99.8733602389526</v>
      </c>
      <c r="GL7">
        <v>63.076935621302731</v>
      </c>
      <c r="GM7">
        <v>91.724915390538015</v>
      </c>
      <c r="GN7">
        <v>116.23721062155614</v>
      </c>
      <c r="GO7">
        <v>113.23529411764706</v>
      </c>
    </row>
    <row r="8" spans="1:197" x14ac:dyDescent="0.35">
      <c r="A8">
        <v>1998</v>
      </c>
      <c r="B8">
        <v>462454000000</v>
      </c>
      <c r="C8">
        <v>62.2</v>
      </c>
      <c r="D8">
        <v>0.622</v>
      </c>
      <c r="E8">
        <v>7434951768.4887457</v>
      </c>
      <c r="F8">
        <v>743495176848.87463</v>
      </c>
      <c r="G8">
        <v>29407000000</v>
      </c>
      <c r="H8">
        <v>8357000000</v>
      </c>
      <c r="I8">
        <v>198829000000</v>
      </c>
      <c r="J8">
        <v>62026000000</v>
      </c>
      <c r="K8">
        <v>69.900000000000006</v>
      </c>
      <c r="L8">
        <v>0.69900000000000007</v>
      </c>
      <c r="M8">
        <v>420701001.43061513</v>
      </c>
      <c r="N8">
        <v>2844477825.4649496</v>
      </c>
      <c r="O8">
        <v>2844477825.4649496</v>
      </c>
      <c r="P8">
        <v>42070100143.061516</v>
      </c>
      <c r="Q8">
        <v>11955650929.899857</v>
      </c>
      <c r="R8">
        <v>284447782546.495</v>
      </c>
      <c r="S8">
        <v>338473533619.45636</v>
      </c>
      <c r="T8">
        <v>887353361.94563651</v>
      </c>
      <c r="U8">
        <v>88735336194.56366</v>
      </c>
      <c r="V8">
        <v>1170704046662.8948</v>
      </c>
      <c r="W8">
        <v>761073000000</v>
      </c>
      <c r="X8">
        <v>61.507749999999994</v>
      </c>
      <c r="Y8">
        <v>0.61507749999999994</v>
      </c>
      <c r="Z8">
        <v>1237361145546.6995</v>
      </c>
      <c r="AA8">
        <v>0.28100000000000003</v>
      </c>
      <c r="AB8">
        <v>0.32</v>
      </c>
      <c r="AC8">
        <v>0.60099999999999998</v>
      </c>
      <c r="AD8">
        <v>0.26323724179246694</v>
      </c>
      <c r="AE8">
        <v>0.86423724179246686</v>
      </c>
      <c r="AF8">
        <v>0.13576275820753314</v>
      </c>
      <c r="AG8">
        <v>2708000</v>
      </c>
      <c r="AH8">
        <v>21386000</v>
      </c>
      <c r="AI8">
        <v>24094000</v>
      </c>
      <c r="AJ8">
        <v>0.17242250000000003</v>
      </c>
      <c r="AK8">
        <v>3687427.5850000009</v>
      </c>
      <c r="AL8">
        <v>0.83987316686484348</v>
      </c>
      <c r="AM8">
        <v>17961527.546571542</v>
      </c>
      <c r="AN8">
        <v>0.50287610000000005</v>
      </c>
      <c r="AO8">
        <v>9032422.9226624668</v>
      </c>
      <c r="AP8">
        <v>8929104.6239090748</v>
      </c>
      <c r="AQ8">
        <v>444.81238159668226</v>
      </c>
      <c r="AR8">
        <v>0.56458629999999999</v>
      </c>
      <c r="AS8">
        <v>2081871.096733086</v>
      </c>
      <c r="AT8">
        <v>1605556.4882669149</v>
      </c>
      <c r="AU8">
        <v>11114294.019395553</v>
      </c>
      <c r="AV8">
        <v>10534661.11217599</v>
      </c>
      <c r="AW8">
        <v>48154186117.187325</v>
      </c>
      <c r="AX8">
        <v>40581150077.376335</v>
      </c>
      <c r="AY8">
        <v>208922144694.53378</v>
      </c>
      <c r="AZ8">
        <v>237918456591.63989</v>
      </c>
      <c r="BA8">
        <v>195715619639.70016</v>
      </c>
      <c r="BB8">
        <v>642556220925.8739</v>
      </c>
      <c r="BC8">
        <v>743495176848.87463</v>
      </c>
      <c r="BD8">
        <v>0.86423724179246708</v>
      </c>
      <c r="BE8">
        <v>0.86423724179246686</v>
      </c>
      <c r="BF8">
        <v>18945508.33684849</v>
      </c>
      <c r="BG8">
        <v>743495176848.87463</v>
      </c>
      <c r="BH8">
        <v>642556220925.87378</v>
      </c>
      <c r="BI8">
        <v>257076330811.7211</v>
      </c>
      <c r="BJ8">
        <v>30858.104791602666</v>
      </c>
      <c r="BK8">
        <v>26668.723372037595</v>
      </c>
      <c r="BL8">
        <v>23130.243843027478</v>
      </c>
      <c r="BM8">
        <v>593.42509214620509</v>
      </c>
      <c r="BN8">
        <v>512.86006484687687</v>
      </c>
      <c r="BO8">
        <v>444.81238159668226</v>
      </c>
      <c r="BP8">
        <v>427208869814.02002</v>
      </c>
      <c r="BQ8">
        <v>427208869814.02014</v>
      </c>
      <c r="BR8">
        <v>528147825737.02087</v>
      </c>
      <c r="BS8">
        <v>913627715851.17371</v>
      </c>
      <c r="BT8">
        <v>616973140288.47266</v>
      </c>
      <c r="BU8">
        <v>812688759928.17285</v>
      </c>
      <c r="BV8">
        <v>38.5</v>
      </c>
      <c r="BW8">
        <v>15.2</v>
      </c>
      <c r="BX8">
        <v>9.1</v>
      </c>
      <c r="BY8">
        <v>17315554.446918875</v>
      </c>
      <c r="BZ8">
        <v>5832804.6739400225</v>
      </c>
      <c r="CA8">
        <v>1212478.0945696854</v>
      </c>
      <c r="CB8">
        <v>24360837.215428583</v>
      </c>
      <c r="CC8">
        <v>24094000</v>
      </c>
      <c r="CD8">
        <v>-266837.21542858332</v>
      </c>
      <c r="CE8">
        <v>0.71079471915490322</v>
      </c>
      <c r="CF8">
        <v>0.23943367062302359</v>
      </c>
      <c r="CG8">
        <v>4.9771610222073152E-2</v>
      </c>
      <c r="CH8">
        <v>31.457910133954595</v>
      </c>
      <c r="CI8">
        <v>884850560.11771309</v>
      </c>
      <c r="CJ8">
        <v>766341027.91084909</v>
      </c>
      <c r="CK8">
        <v>31.52</v>
      </c>
      <c r="CL8">
        <v>31.39582026790919</v>
      </c>
      <c r="CM8">
        <v>34.56</v>
      </c>
      <c r="CN8">
        <v>42.5</v>
      </c>
      <c r="CO8">
        <v>33.17</v>
      </c>
      <c r="CP8">
        <v>44.69</v>
      </c>
      <c r="CQ8">
        <v>37.278713781785989</v>
      </c>
      <c r="CR8">
        <v>36.83176982791079</v>
      </c>
      <c r="CS8">
        <v>36.047279037176288</v>
      </c>
      <c r="CT8">
        <v>34.22928941517177</v>
      </c>
      <c r="CU8">
        <v>1938.4931166528713</v>
      </c>
      <c r="CV8">
        <v>1915.252031051361</v>
      </c>
      <c r="CW8">
        <v>1874.4585099331671</v>
      </c>
      <c r="CX8">
        <v>387670760.68212754</v>
      </c>
      <c r="CY8">
        <v>312160536.20721489</v>
      </c>
      <c r="CZ8">
        <v>435243592.59011877</v>
      </c>
      <c r="DA8">
        <v>88479521.611156151</v>
      </c>
      <c r="DB8">
        <v>898193329.85835159</v>
      </c>
      <c r="DC8">
        <v>1285119978.4135025</v>
      </c>
      <c r="DD8">
        <v>400640057.81837106</v>
      </c>
      <c r="DE8">
        <v>46706053152.634285</v>
      </c>
      <c r="DF8">
        <v>66826238877.502129</v>
      </c>
      <c r="DG8">
        <v>20833283006.555294</v>
      </c>
      <c r="DH8">
        <v>1938.4931166528715</v>
      </c>
      <c r="DI8">
        <v>1915.2520310513612</v>
      </c>
      <c r="DJ8">
        <v>1874.4585099331666</v>
      </c>
      <c r="DK8">
        <v>25.065360218665049</v>
      </c>
      <c r="DL8">
        <v>17.518628405960261</v>
      </c>
      <c r="DM8">
        <v>56.193929986672146</v>
      </c>
      <c r="DN8">
        <v>0.57459534791421529</v>
      </c>
      <c r="DO8">
        <v>3.5539161188678281</v>
      </c>
      <c r="DP8">
        <v>0.57459534791421507</v>
      </c>
      <c r="DQ8">
        <v>0.57459534791421507</v>
      </c>
      <c r="DR8">
        <v>3.1612741529416568</v>
      </c>
      <c r="DS8">
        <v>0.82194803899960789</v>
      </c>
      <c r="DT8">
        <v>2.3999608923169768</v>
      </c>
      <c r="DU8">
        <v>3.1612741529416573</v>
      </c>
      <c r="DV8">
        <v>23.67510727830307</v>
      </c>
      <c r="DW8">
        <v>13.603606503482919</v>
      </c>
      <c r="DX8">
        <v>20.215598381243801</v>
      </c>
      <c r="DY8">
        <v>16.616171446666989</v>
      </c>
      <c r="DZ8">
        <v>8.6625580801240911</v>
      </c>
      <c r="EA8">
        <v>27.384720957052195</v>
      </c>
      <c r="EB8">
        <v>12.758713781785989</v>
      </c>
      <c r="EC8">
        <v>16.281769827910789</v>
      </c>
      <c r="ED8">
        <v>26.617279037176289</v>
      </c>
      <c r="EE8">
        <v>52.033906124738948</v>
      </c>
      <c r="EF8">
        <v>79.230023493483159</v>
      </c>
      <c r="EG8">
        <v>282.26170771130745</v>
      </c>
      <c r="EH8">
        <v>11.125797132048103</v>
      </c>
      <c r="EI8">
        <v>9.6153282261437916</v>
      </c>
      <c r="EJ8">
        <v>12.339693687779826</v>
      </c>
      <c r="EK8">
        <v>71.2</v>
      </c>
      <c r="EL8">
        <v>2.8405735795881584</v>
      </c>
      <c r="EM8">
        <v>4.0642451195423517</v>
      </c>
      <c r="EN8">
        <v>1.267040764311856</v>
      </c>
      <c r="EO8">
        <v>3.9895696342530311E-2</v>
      </c>
      <c r="EP8">
        <v>5.7082094375594826E-2</v>
      </c>
      <c r="EQ8">
        <v>1.7795516352694607E-2</v>
      </c>
      <c r="ER8">
        <v>0.44387142394878576</v>
      </c>
      <c r="ES8">
        <v>0.54886307325706074</v>
      </c>
      <c r="ET8">
        <v>0.21959122080812832</v>
      </c>
      <c r="EU8">
        <v>860.44170000362976</v>
      </c>
      <c r="EV8">
        <v>1051.2111158246776</v>
      </c>
      <c r="EW8">
        <v>411.61463255040917</v>
      </c>
      <c r="EX8">
        <v>260643</v>
      </c>
      <c r="EY8">
        <v>22936</v>
      </c>
      <c r="EZ8">
        <v>237707</v>
      </c>
      <c r="FA8">
        <v>107.88582684312765</v>
      </c>
      <c r="FB8">
        <v>117.51223731207243</v>
      </c>
      <c r="FC8">
        <v>96.554271118691148</v>
      </c>
      <c r="FD8">
        <v>98.505477939774934</v>
      </c>
      <c r="FE8">
        <v>97.231908664021873</v>
      </c>
      <c r="FF8">
        <v>113.43516066177956</v>
      </c>
      <c r="FG8">
        <v>96.915158067420464</v>
      </c>
      <c r="FH8">
        <v>113.877145670912</v>
      </c>
      <c r="FI8">
        <v>102.03237999009411</v>
      </c>
      <c r="FJ8">
        <v>93.538957344472053</v>
      </c>
      <c r="FK8">
        <v>96.792639097289623</v>
      </c>
      <c r="FL8">
        <v>114.72579178755902</v>
      </c>
      <c r="FM8">
        <v>98.372741514568375</v>
      </c>
      <c r="FN8">
        <v>96.661846693816102</v>
      </c>
      <c r="FO8">
        <v>97.593454763939562</v>
      </c>
      <c r="FP8">
        <v>115.18953330990959</v>
      </c>
      <c r="FQ8">
        <v>100.89394728990086</v>
      </c>
      <c r="FR8">
        <v>115.70792089222373</v>
      </c>
      <c r="FS8">
        <v>98.239235908544231</v>
      </c>
      <c r="FT8">
        <v>94.716520232174446</v>
      </c>
      <c r="FU8">
        <v>99.127929744935415</v>
      </c>
      <c r="FV8">
        <v>115.26959997266081</v>
      </c>
      <c r="FW8">
        <v>91.861697562291539</v>
      </c>
      <c r="FX8">
        <v>97.55867815123689</v>
      </c>
      <c r="FY8">
        <v>96.10045064563127</v>
      </c>
      <c r="FZ8">
        <v>106.90739686018861</v>
      </c>
      <c r="GA8">
        <v>96.311938950933467</v>
      </c>
      <c r="GB8">
        <v>111.26865363191909</v>
      </c>
      <c r="GC8">
        <v>106.22703776064387</v>
      </c>
      <c r="GD8">
        <v>94.79087976202382</v>
      </c>
      <c r="GE8">
        <v>98.663819055587595</v>
      </c>
      <c r="GF8">
        <v>71.2</v>
      </c>
      <c r="GG8">
        <v>113.73801916932908</v>
      </c>
      <c r="GH8">
        <v>107.88582684312765</v>
      </c>
      <c r="GI8">
        <v>260643</v>
      </c>
      <c r="GJ8">
        <v>108.09410847440756</v>
      </c>
      <c r="GK8">
        <v>98.856139713142028</v>
      </c>
      <c r="GL8">
        <v>77.120840516321422</v>
      </c>
      <c r="GM8">
        <v>94.784797790952396</v>
      </c>
      <c r="GN8">
        <v>119.1498181446903</v>
      </c>
      <c r="GO8">
        <v>113.87900355871885</v>
      </c>
    </row>
    <row r="9" spans="1:197" x14ac:dyDescent="0.35">
      <c r="A9">
        <v>1999</v>
      </c>
      <c r="B9">
        <v>499702000000</v>
      </c>
      <c r="C9">
        <v>65.2</v>
      </c>
      <c r="D9">
        <v>0.65200000000000002</v>
      </c>
      <c r="E9">
        <v>7664141104.2944784</v>
      </c>
      <c r="F9">
        <v>766414110429.44788</v>
      </c>
      <c r="G9">
        <v>24052000000</v>
      </c>
      <c r="H9">
        <v>8607000000</v>
      </c>
      <c r="I9">
        <v>190528000000</v>
      </c>
      <c r="J9">
        <v>65651000000</v>
      </c>
      <c r="K9">
        <v>67.400000000000006</v>
      </c>
      <c r="L9">
        <v>0.67400000000000004</v>
      </c>
      <c r="M9">
        <v>356854599.40652817</v>
      </c>
      <c r="N9">
        <v>2826824925.8160233</v>
      </c>
      <c r="O9">
        <v>2826824925.8160233</v>
      </c>
      <c r="P9">
        <v>35685459940.652817</v>
      </c>
      <c r="Q9">
        <v>12770029673.590504</v>
      </c>
      <c r="R9">
        <v>282682492581.60236</v>
      </c>
      <c r="S9">
        <v>331137982195.8457</v>
      </c>
      <c r="T9">
        <v>974050445.10385752</v>
      </c>
      <c r="U9">
        <v>97405044510.385757</v>
      </c>
      <c r="V9">
        <v>1194957137135.6794</v>
      </c>
      <c r="W9">
        <v>788540000000</v>
      </c>
      <c r="X9">
        <v>62.341324999999998</v>
      </c>
      <c r="Y9">
        <v>0.62341325000000003</v>
      </c>
      <c r="Z9">
        <v>1264875265323.6035</v>
      </c>
      <c r="AA9">
        <v>0.28399999999999997</v>
      </c>
      <c r="AB9">
        <v>0.32400000000000001</v>
      </c>
      <c r="AC9">
        <v>0.60799999999999998</v>
      </c>
      <c r="AD9">
        <v>0.2549896563486076</v>
      </c>
      <c r="AE9">
        <v>0.86298965634860758</v>
      </c>
      <c r="AF9">
        <v>0.13701034365139242</v>
      </c>
      <c r="AG9">
        <v>2747000</v>
      </c>
      <c r="AH9">
        <v>21716000</v>
      </c>
      <c r="AI9">
        <v>24463000</v>
      </c>
      <c r="AJ9">
        <v>0.1674582</v>
      </c>
      <c r="AK9">
        <v>3636522.2711999998</v>
      </c>
      <c r="AL9">
        <v>0.84539343614076712</v>
      </c>
      <c r="AM9">
        <v>18358563.859232899</v>
      </c>
      <c r="AN9">
        <v>0.50060059999999995</v>
      </c>
      <c r="AO9">
        <v>9190308.0830703042</v>
      </c>
      <c r="AP9">
        <v>9168255.7761625946</v>
      </c>
      <c r="AQ9">
        <v>455.45808733952907</v>
      </c>
      <c r="AR9">
        <v>0.57675109999999996</v>
      </c>
      <c r="AS9">
        <v>2097368.220089098</v>
      </c>
      <c r="AT9">
        <v>1539154.0511109019</v>
      </c>
      <c r="AU9">
        <v>11287676.303159403</v>
      </c>
      <c r="AV9">
        <v>10707409.827273495</v>
      </c>
      <c r="AW9">
        <v>49673692534.361633</v>
      </c>
      <c r="AX9">
        <v>47731351976.024124</v>
      </c>
      <c r="AY9">
        <v>217661607361.96317</v>
      </c>
      <c r="AZ9">
        <v>248318171779.14111</v>
      </c>
      <c r="BA9">
        <v>195427670639.12869</v>
      </c>
      <c r="BB9">
        <v>661407449780.23291</v>
      </c>
      <c r="BC9">
        <v>766414110429.44788</v>
      </c>
      <c r="BD9">
        <v>0.86298965634860747</v>
      </c>
      <c r="BE9">
        <v>0.86298965634860758</v>
      </c>
      <c r="BF9">
        <v>18397985.432010811</v>
      </c>
      <c r="BG9">
        <v>766414110429.44788</v>
      </c>
      <c r="BH9">
        <v>661407449780.23303</v>
      </c>
      <c r="BI9">
        <v>267335299896.3248</v>
      </c>
      <c r="BJ9">
        <v>31329.522561805497</v>
      </c>
      <c r="BK9">
        <v>27037.053909178474</v>
      </c>
      <c r="BL9">
        <v>23683.82054165551</v>
      </c>
      <c r="BM9">
        <v>602.49081849625952</v>
      </c>
      <c r="BN9">
        <v>519.94334440727835</v>
      </c>
      <c r="BO9">
        <v>455.45808733952902</v>
      </c>
      <c r="BP9">
        <v>428543026706.23145</v>
      </c>
      <c r="BQ9">
        <v>428543026706.23157</v>
      </c>
      <c r="BR9">
        <v>533549687355.44653</v>
      </c>
      <c r="BS9">
        <v>927621837239.35461</v>
      </c>
      <c r="BT9">
        <v>627187505951.01099</v>
      </c>
      <c r="BU9">
        <v>822615176590.13965</v>
      </c>
      <c r="BV9">
        <v>38.200000000000003</v>
      </c>
      <c r="BW9">
        <v>15.3</v>
      </c>
      <c r="BX9">
        <v>9.1</v>
      </c>
      <c r="BY9">
        <v>17636553.467570689</v>
      </c>
      <c r="BZ9">
        <v>5928089.51001566</v>
      </c>
      <c r="CA9">
        <v>1239971.5498579398</v>
      </c>
      <c r="CB9">
        <v>24804614.527444288</v>
      </c>
      <c r="CC9">
        <v>24463000</v>
      </c>
      <c r="CD9">
        <v>-341614.52744428813</v>
      </c>
      <c r="CE9">
        <v>0.71101905042939795</v>
      </c>
      <c r="CF9">
        <v>0.23899139829231014</v>
      </c>
      <c r="CG9">
        <v>4.9989551278291876E-2</v>
      </c>
      <c r="CH9">
        <v>31.272401036907805</v>
      </c>
      <c r="CI9">
        <v>891029670.34546125</v>
      </c>
      <c r="CJ9">
        <v>775699853.06814718</v>
      </c>
      <c r="CK9">
        <v>31.49</v>
      </c>
      <c r="CL9">
        <v>31.054802073815612</v>
      </c>
      <c r="CM9">
        <v>34.9</v>
      </c>
      <c r="CN9">
        <v>42.22</v>
      </c>
      <c r="CO9">
        <v>32.83</v>
      </c>
      <c r="CP9">
        <v>42.81</v>
      </c>
      <c r="CQ9">
        <v>37.088660434843845</v>
      </c>
      <c r="CR9">
        <v>36.654817306781744</v>
      </c>
      <c r="CS9">
        <v>36.260132498373906</v>
      </c>
      <c r="CT9">
        <v>33.698100316552775</v>
      </c>
      <c r="CU9">
        <v>1928.61034261188</v>
      </c>
      <c r="CV9">
        <v>1906.0504999526506</v>
      </c>
      <c r="CW9">
        <v>1885.526889915443</v>
      </c>
      <c r="CX9">
        <v>394185446.14476705</v>
      </c>
      <c r="CY9">
        <v>320741752.09915358</v>
      </c>
      <c r="CZ9">
        <v>454148256.45032215</v>
      </c>
      <c r="DA9">
        <v>88550886.252161711</v>
      </c>
      <c r="DB9">
        <v>907299900.21758497</v>
      </c>
      <c r="DC9">
        <v>1299394797.9472258</v>
      </c>
      <c r="DD9">
        <v>409292638.35131526</v>
      </c>
      <c r="DE9">
        <v>47179594811.314415</v>
      </c>
      <c r="DF9">
        <v>67568529493.255745</v>
      </c>
      <c r="DG9">
        <v>21283217194.268394</v>
      </c>
      <c r="DH9">
        <v>1928.6103426118798</v>
      </c>
      <c r="DI9">
        <v>1906.0504999526509</v>
      </c>
      <c r="DJ9">
        <v>1885.526889915443</v>
      </c>
      <c r="DK9">
        <v>25.327838060387702</v>
      </c>
      <c r="DL9">
        <v>17.685113855481379</v>
      </c>
      <c r="DM9">
        <v>56.145512505387735</v>
      </c>
      <c r="DN9">
        <v>0.55915336222881429</v>
      </c>
      <c r="DO9">
        <v>3.4698815966282615</v>
      </c>
      <c r="DP9">
        <v>0.55915336222881418</v>
      </c>
      <c r="DQ9">
        <v>0.55915336222881418</v>
      </c>
      <c r="DR9">
        <v>3.0770914911317648</v>
      </c>
      <c r="DS9">
        <v>0.80668835455773913</v>
      </c>
      <c r="DT9">
        <v>2.3460706692840052</v>
      </c>
      <c r="DU9">
        <v>3.0770914911317648</v>
      </c>
      <c r="DV9">
        <v>23.787692303613735</v>
      </c>
      <c r="DW9">
        <v>13.30096813123011</v>
      </c>
      <c r="DX9">
        <v>20.28840071632305</v>
      </c>
      <c r="DY9">
        <v>16.366416590458694</v>
      </c>
      <c r="DZ9">
        <v>8.8936273756045665</v>
      </c>
      <c r="EA9">
        <v>27.36650512276934</v>
      </c>
      <c r="EB9">
        <v>12.568660434843846</v>
      </c>
      <c r="EC9">
        <v>16.104817306781744</v>
      </c>
      <c r="ED9">
        <v>26.830132498373906</v>
      </c>
      <c r="EE9">
        <v>51.258810908824827</v>
      </c>
      <c r="EF9">
        <v>78.368940665604597</v>
      </c>
      <c r="EG9">
        <v>284.51890242178052</v>
      </c>
      <c r="EH9">
        <v>11.342767353046309</v>
      </c>
      <c r="EI9">
        <v>9.788690900047639</v>
      </c>
      <c r="EJ9">
        <v>12.560850056462264</v>
      </c>
      <c r="EK9">
        <v>72.099999999999994</v>
      </c>
      <c r="EL9">
        <v>2.8466701274738146</v>
      </c>
      <c r="EM9">
        <v>4.0768750820144195</v>
      </c>
      <c r="EN9">
        <v>1.2841631821079424</v>
      </c>
      <c r="EO9">
        <v>3.9482248647348332E-2</v>
      </c>
      <c r="EP9">
        <v>5.6544730679811646E-2</v>
      </c>
      <c r="EQ9">
        <v>1.7810862442551215E-2</v>
      </c>
      <c r="ER9">
        <v>0.44783796098199946</v>
      </c>
      <c r="ES9">
        <v>0.55349889065111679</v>
      </c>
      <c r="ET9">
        <v>0.22371957251716107</v>
      </c>
      <c r="EU9">
        <v>863.70492336409961</v>
      </c>
      <c r="EV9">
        <v>1054.9968372487988</v>
      </c>
      <c r="EW9">
        <v>421.82926978149516</v>
      </c>
      <c r="EX9">
        <v>265133</v>
      </c>
      <c r="EY9">
        <v>23911</v>
      </c>
      <c r="EZ9">
        <v>241222</v>
      </c>
      <c r="FA9">
        <v>109.48114663326254</v>
      </c>
      <c r="FB9">
        <v>118.74279446970326</v>
      </c>
      <c r="FC9">
        <v>97.013427013106593</v>
      </c>
      <c r="FD9">
        <v>96.314034259450466</v>
      </c>
      <c r="FE9">
        <v>96.736203533760673</v>
      </c>
      <c r="FF9">
        <v>115.16810410930873</v>
      </c>
      <c r="FG9">
        <v>97.781214188209489</v>
      </c>
      <c r="FH9">
        <v>116.09792582442486</v>
      </c>
      <c r="FI9">
        <v>99.290306708481609</v>
      </c>
      <c r="FJ9">
        <v>92.145604361025264</v>
      </c>
      <c r="FK9">
        <v>97.000379169039931</v>
      </c>
      <c r="FL9">
        <v>115.81606978049366</v>
      </c>
      <c r="FM9">
        <v>98.727010785027005</v>
      </c>
      <c r="FN9">
        <v>95.208938862470589</v>
      </c>
      <c r="FO9">
        <v>97.124582158934132</v>
      </c>
      <c r="FP9">
        <v>116.78045395823476</v>
      </c>
      <c r="FQ9">
        <v>101.7461196049847</v>
      </c>
      <c r="FR9">
        <v>117.79411432066954</v>
      </c>
      <c r="FS9">
        <v>96.41539830732647</v>
      </c>
      <c r="FT9">
        <v>93.687128020836198</v>
      </c>
      <c r="FU9">
        <v>99.435977610107813</v>
      </c>
      <c r="FV9">
        <v>115.17028206233381</v>
      </c>
      <c r="FW9">
        <v>94.312061247132206</v>
      </c>
      <c r="FX9">
        <v>97.493783836014742</v>
      </c>
      <c r="FY9">
        <v>96.667908553382858</v>
      </c>
      <c r="FZ9">
        <v>109.46601423640017</v>
      </c>
      <c r="GA9">
        <v>98.122619525070647</v>
      </c>
      <c r="GB9">
        <v>113.26284992301412</v>
      </c>
      <c r="GC9">
        <v>103.39828126492844</v>
      </c>
      <c r="GD9">
        <v>95.54890490873899</v>
      </c>
      <c r="GE9">
        <v>99.997133009495599</v>
      </c>
      <c r="GF9">
        <v>72.099999999999994</v>
      </c>
      <c r="GG9">
        <v>115.17571884984024</v>
      </c>
      <c r="GH9">
        <v>109.48114663326254</v>
      </c>
      <c r="GI9">
        <v>265133</v>
      </c>
      <c r="GJ9">
        <v>109.95620546933968</v>
      </c>
      <c r="GK9">
        <v>99.760048230066062</v>
      </c>
      <c r="GL9">
        <v>73.385018251373964</v>
      </c>
      <c r="GM9">
        <v>94.859292025201938</v>
      </c>
      <c r="GN9">
        <v>119.19556750141416</v>
      </c>
      <c r="GO9">
        <v>114.08450704225352</v>
      </c>
    </row>
    <row r="10" spans="1:197" x14ac:dyDescent="0.35">
      <c r="A10">
        <v>2000</v>
      </c>
      <c r="B10">
        <v>535149000000</v>
      </c>
      <c r="C10">
        <v>67.400000000000006</v>
      </c>
      <c r="D10">
        <v>0.67400000000000004</v>
      </c>
      <c r="E10">
        <v>7939896142.4332342</v>
      </c>
      <c r="F10">
        <v>793989614243.32336</v>
      </c>
      <c r="G10">
        <v>19582000000</v>
      </c>
      <c r="H10">
        <v>8300000000</v>
      </c>
      <c r="I10">
        <v>200377000000</v>
      </c>
      <c r="J10">
        <v>68799000000</v>
      </c>
      <c r="K10">
        <v>67.099999999999994</v>
      </c>
      <c r="L10">
        <v>0.67099999999999993</v>
      </c>
      <c r="M10">
        <v>291833084.94783908</v>
      </c>
      <c r="N10">
        <v>2986244411.3263788</v>
      </c>
      <c r="O10">
        <v>2986244411.3263788</v>
      </c>
      <c r="P10">
        <v>29183308494.783909</v>
      </c>
      <c r="Q10">
        <v>12369597615.499256</v>
      </c>
      <c r="R10">
        <v>298624441132.63788</v>
      </c>
      <c r="S10">
        <v>340177347242.92102</v>
      </c>
      <c r="T10">
        <v>1025320417.2876304</v>
      </c>
      <c r="U10">
        <v>102532041728.76305</v>
      </c>
      <c r="V10">
        <v>1236699003215.0073</v>
      </c>
      <c r="W10">
        <v>832207000000</v>
      </c>
      <c r="X10">
        <v>63.391075000000001</v>
      </c>
      <c r="Y10">
        <v>0.63391074999999997</v>
      </c>
      <c r="Z10">
        <v>1312814146155.4329</v>
      </c>
      <c r="AA10">
        <v>0.28100000000000003</v>
      </c>
      <c r="AB10">
        <v>0.33100000000000002</v>
      </c>
      <c r="AC10">
        <v>0.6120000000000001</v>
      </c>
      <c r="AD10">
        <v>0.25373357149434866</v>
      </c>
      <c r="AE10">
        <v>0.86573357149434882</v>
      </c>
      <c r="AF10">
        <v>0.13426642850565118</v>
      </c>
      <c r="AG10">
        <v>2782000</v>
      </c>
      <c r="AH10">
        <v>22044000</v>
      </c>
      <c r="AI10">
        <v>24826000</v>
      </c>
      <c r="AJ10">
        <v>0.16280819999999996</v>
      </c>
      <c r="AK10">
        <v>3588943.9607999991</v>
      </c>
      <c r="AL10">
        <v>0.84163963432615752</v>
      </c>
      <c r="AM10">
        <v>18553104.099085815</v>
      </c>
      <c r="AN10">
        <v>0.4953321</v>
      </c>
      <c r="AO10">
        <v>9189948.0149187855</v>
      </c>
      <c r="AP10">
        <v>9363156.0841670316</v>
      </c>
      <c r="AQ10">
        <v>466.8794335024856</v>
      </c>
      <c r="AR10">
        <v>0.59314169999999999</v>
      </c>
      <c r="AS10">
        <v>2128752.3221136448</v>
      </c>
      <c r="AT10">
        <v>1460191.6386863543</v>
      </c>
      <c r="AU10">
        <v>11318700.33703243</v>
      </c>
      <c r="AV10">
        <v>10823347.722853385</v>
      </c>
      <c r="AW10">
        <v>51681275267.207001</v>
      </c>
      <c r="AX10">
        <v>50850766461.556046</v>
      </c>
      <c r="AY10">
        <v>223111081602.3739</v>
      </c>
      <c r="AZ10">
        <v>262810562314.54004</v>
      </c>
      <c r="BA10">
        <v>201461820551.3786</v>
      </c>
      <c r="BB10">
        <v>687383464468.29248</v>
      </c>
      <c r="BC10">
        <v>793989614243.32336</v>
      </c>
      <c r="BD10">
        <v>0.8657335714943486</v>
      </c>
      <c r="BE10">
        <v>0.86573357149434882</v>
      </c>
      <c r="BF10">
        <v>31274522.908984531</v>
      </c>
      <c r="BG10">
        <v>793989614243.32336</v>
      </c>
      <c r="BH10">
        <v>687383464468.2926</v>
      </c>
      <c r="BI10">
        <v>274792356869.5809</v>
      </c>
      <c r="BJ10">
        <v>31982.180546335429</v>
      </c>
      <c r="BK10">
        <v>27688.047388556053</v>
      </c>
      <c r="BL10">
        <v>24277.730542129255</v>
      </c>
      <c r="BM10">
        <v>615.04193358337363</v>
      </c>
      <c r="BN10">
        <v>532.4624497799241</v>
      </c>
      <c r="BO10">
        <v>466.87943350248565</v>
      </c>
      <c r="BP10">
        <v>442709388971.68408</v>
      </c>
      <c r="BQ10">
        <v>442709388971.68396</v>
      </c>
      <c r="BR10">
        <v>549315538746.71484</v>
      </c>
      <c r="BS10">
        <v>961906646345.42639</v>
      </c>
      <c r="BT10">
        <v>653838676019.01709</v>
      </c>
      <c r="BU10">
        <v>855300496570.39575</v>
      </c>
      <c r="BV10">
        <v>37.9</v>
      </c>
      <c r="BW10">
        <v>15.5</v>
      </c>
      <c r="BX10">
        <v>9.1</v>
      </c>
      <c r="BY10">
        <v>17871259.08944248</v>
      </c>
      <c r="BZ10">
        <v>6073966.4398834705</v>
      </c>
      <c r="CA10">
        <v>1179389.060610014</v>
      </c>
      <c r="CB10">
        <v>25124614.589935966</v>
      </c>
      <c r="CC10">
        <v>24826000</v>
      </c>
      <c r="CD10">
        <v>-298614.58993596584</v>
      </c>
      <c r="CE10">
        <v>0.71130480531235996</v>
      </c>
      <c r="CF10">
        <v>0.24175361648399124</v>
      </c>
      <c r="CG10">
        <v>4.6941578203648769E-2</v>
      </c>
      <c r="CH10">
        <v>31.132801538493506</v>
      </c>
      <c r="CI10">
        <v>894727866.34751284</v>
      </c>
      <c r="CJ10">
        <v>782199639.75961483</v>
      </c>
      <c r="CK10">
        <v>31.45</v>
      </c>
      <c r="CL10">
        <v>30.815603076987014</v>
      </c>
      <c r="CM10">
        <v>34.799999999999997</v>
      </c>
      <c r="CN10">
        <v>41.69</v>
      </c>
      <c r="CO10">
        <v>32.5</v>
      </c>
      <c r="CP10">
        <v>44.24</v>
      </c>
      <c r="CQ10">
        <v>36.827029080022839</v>
      </c>
      <c r="CR10">
        <v>36.408567970532829</v>
      </c>
      <c r="CS10">
        <v>36.095829296882727</v>
      </c>
      <c r="CT10">
        <v>33.545291169904417</v>
      </c>
      <c r="CU10">
        <v>1915.0055121611877</v>
      </c>
      <c r="CV10">
        <v>1893.2455344677071</v>
      </c>
      <c r="CW10">
        <v>1876.9831234379017</v>
      </c>
      <c r="CX10">
        <v>394133998.9998439</v>
      </c>
      <c r="CY10">
        <v>319810190.91917372</v>
      </c>
      <c r="CZ10">
        <v>471960751.57367295</v>
      </c>
      <c r="DA10">
        <v>88747684.30891785</v>
      </c>
      <c r="DB10">
        <v>914267823.94064701</v>
      </c>
      <c r="DC10">
        <v>1301511489.1253989</v>
      </c>
      <c r="DD10">
        <v>408557875.2280916</v>
      </c>
      <c r="DE10">
        <v>47541926844.913643</v>
      </c>
      <c r="DF10">
        <v>67678597434.520744</v>
      </c>
      <c r="DG10">
        <v>21245009511.860764</v>
      </c>
      <c r="DH10">
        <v>1915.0055121611877</v>
      </c>
      <c r="DI10">
        <v>1893.2455344677073</v>
      </c>
      <c r="DJ10">
        <v>1876.9831234379019</v>
      </c>
      <c r="DK10">
        <v>26.012807752812353</v>
      </c>
      <c r="DL10">
        <v>18.273118091897775</v>
      </c>
      <c r="DM10">
        <v>58.211270864556553</v>
      </c>
      <c r="DN10">
        <v>0.55757579322191575</v>
      </c>
      <c r="DO10">
        <v>3.5004854476427689</v>
      </c>
      <c r="DP10">
        <v>0.55757579322191597</v>
      </c>
      <c r="DQ10">
        <v>0.55757579322191597</v>
      </c>
      <c r="DR10">
        <v>3.1125337921109995</v>
      </c>
      <c r="DS10">
        <v>0.79913987918173668</v>
      </c>
      <c r="DT10">
        <v>2.3793917831904445</v>
      </c>
      <c r="DU10">
        <v>3.1125337921109995</v>
      </c>
      <c r="DV10">
        <v>23.643811903268258</v>
      </c>
      <c r="DW10">
        <v>13.183217176754582</v>
      </c>
      <c r="DX10">
        <v>20.236652186872618</v>
      </c>
      <c r="DY10">
        <v>16.171915783660211</v>
      </c>
      <c r="DZ10">
        <v>8.777029228580373</v>
      </c>
      <c r="EA10">
        <v>27.318800068302352</v>
      </c>
      <c r="EB10">
        <v>12.30702908002284</v>
      </c>
      <c r="EC10">
        <v>15.858567970532828</v>
      </c>
      <c r="ED10">
        <v>26.665829296882727</v>
      </c>
      <c r="EE10">
        <v>50.191798858168191</v>
      </c>
      <c r="EF10">
        <v>77.170647058553911</v>
      </c>
      <c r="EG10">
        <v>282.77655670077121</v>
      </c>
      <c r="EH10">
        <v>11.731768156269947</v>
      </c>
      <c r="EI10">
        <v>10.156585545871252</v>
      </c>
      <c r="EJ10">
        <v>12.93444263774834</v>
      </c>
      <c r="EK10">
        <v>72.7</v>
      </c>
      <c r="EL10">
        <v>2.7947771225172762</v>
      </c>
      <c r="EM10">
        <v>3.9785218720955391</v>
      </c>
      <c r="EN10">
        <v>1.2488990348476534</v>
      </c>
      <c r="EO10">
        <v>3.8442601410141351E-2</v>
      </c>
      <c r="EP10">
        <v>5.4725197690447577E-2</v>
      </c>
      <c r="EQ10">
        <v>1.7178803780572946E-2</v>
      </c>
      <c r="ER10">
        <v>0.45099968706767446</v>
      </c>
      <c r="ES10">
        <v>0.55582115185774672</v>
      </c>
      <c r="ET10">
        <v>0.22219825208495511</v>
      </c>
      <c r="EU10">
        <v>863.66688671756731</v>
      </c>
      <c r="EV10">
        <v>1052.3059137173764</v>
      </c>
      <c r="EW10">
        <v>417.06236922086134</v>
      </c>
      <c r="EX10">
        <v>280314</v>
      </c>
      <c r="EY10">
        <v>24922</v>
      </c>
      <c r="EZ10">
        <v>255392</v>
      </c>
      <c r="FA10">
        <v>115.91235045295281</v>
      </c>
      <c r="FB10">
        <v>121.95409166813107</v>
      </c>
      <c r="FC10">
        <v>96.426639083475763</v>
      </c>
      <c r="FD10">
        <v>95.461384335659531</v>
      </c>
      <c r="FE10">
        <v>96.053805633862382</v>
      </c>
      <c r="FF10">
        <v>117.56729109218827</v>
      </c>
      <c r="FG10">
        <v>98.471547394688741</v>
      </c>
      <c r="FH10">
        <v>120.07951029959005</v>
      </c>
      <c r="FI10">
        <v>99.010173705392162</v>
      </c>
      <c r="FJ10">
        <v>90.227485923921108</v>
      </c>
      <c r="FK10">
        <v>95.232123301096408</v>
      </c>
      <c r="FL10">
        <v>119.66678514667831</v>
      </c>
      <c r="FM10">
        <v>98.475193123467733</v>
      </c>
      <c r="FN10">
        <v>94.07746238313095</v>
      </c>
      <c r="FO10">
        <v>96.472093191660917</v>
      </c>
      <c r="FP10">
        <v>119.59227340797725</v>
      </c>
      <c r="FQ10">
        <v>102.17300585620343</v>
      </c>
      <c r="FR10">
        <v>122.22124603936524</v>
      </c>
      <c r="FS10">
        <v>95.513204472646251</v>
      </c>
      <c r="FT10">
        <v>92.25461297575815</v>
      </c>
      <c r="FU10">
        <v>97.037118831598519</v>
      </c>
      <c r="FV10">
        <v>119.40773510678267</v>
      </c>
      <c r="FW10">
        <v>93.075601575613717</v>
      </c>
      <c r="FX10">
        <v>97.323833517286602</v>
      </c>
      <c r="FY10">
        <v>96.229883489423429</v>
      </c>
      <c r="FZ10">
        <v>112.21105110461377</v>
      </c>
      <c r="GA10">
        <v>97.455373721471545</v>
      </c>
      <c r="GB10">
        <v>116.63158374885789</v>
      </c>
      <c r="GC10">
        <v>104.58923480527289</v>
      </c>
      <c r="GD10">
        <v>94.963779547303162</v>
      </c>
      <c r="GE10">
        <v>97.251131821184657</v>
      </c>
      <c r="GF10">
        <v>72.7</v>
      </c>
      <c r="GG10">
        <v>116.13418530351439</v>
      </c>
      <c r="GH10">
        <v>115.91235045295281</v>
      </c>
      <c r="GI10">
        <v>280314</v>
      </c>
      <c r="GJ10">
        <v>116.25208397269478</v>
      </c>
      <c r="GK10">
        <v>101.88475570228542</v>
      </c>
      <c r="GL10">
        <v>68.593777844316122</v>
      </c>
      <c r="GM10">
        <v>95.623591053485583</v>
      </c>
      <c r="GN10">
        <v>120.20238470612674</v>
      </c>
      <c r="GO10">
        <v>117.79359430604981</v>
      </c>
    </row>
    <row r="11" spans="1:197" x14ac:dyDescent="0.35">
      <c r="A11">
        <v>2001</v>
      </c>
      <c r="B11">
        <v>568044000000</v>
      </c>
      <c r="C11">
        <v>70.099999999999994</v>
      </c>
      <c r="D11">
        <v>0.70099999999999996</v>
      </c>
      <c r="E11">
        <v>8103338088.4450788</v>
      </c>
      <c r="F11">
        <v>810333808844.50793</v>
      </c>
      <c r="G11">
        <v>19684000000</v>
      </c>
      <c r="H11">
        <v>8444000000</v>
      </c>
      <c r="I11">
        <v>199866000000</v>
      </c>
      <c r="J11">
        <v>72246000000</v>
      </c>
      <c r="K11">
        <v>67</v>
      </c>
      <c r="L11">
        <v>0.67</v>
      </c>
      <c r="M11">
        <v>293791044.77611941</v>
      </c>
      <c r="N11">
        <v>2983074626.8656716</v>
      </c>
      <c r="O11">
        <v>2983074626.8656716</v>
      </c>
      <c r="P11">
        <v>29379104477.611938</v>
      </c>
      <c r="Q11">
        <v>12602985074.626865</v>
      </c>
      <c r="R11">
        <v>298307462686.56714</v>
      </c>
      <c r="S11">
        <v>340289552238.80591</v>
      </c>
      <c r="T11">
        <v>1078298507.4626865</v>
      </c>
      <c r="U11">
        <v>107829850746.26865</v>
      </c>
      <c r="V11">
        <v>1258453211829.5825</v>
      </c>
      <c r="W11">
        <v>868284000000</v>
      </c>
      <c r="X11">
        <v>64.564400000000006</v>
      </c>
      <c r="Y11">
        <v>0.64564400000000011</v>
      </c>
      <c r="Z11">
        <v>1344833995204.7876</v>
      </c>
      <c r="AA11">
        <v>0.28799999999999998</v>
      </c>
      <c r="AB11">
        <v>0.33100000000000002</v>
      </c>
      <c r="AC11">
        <v>0.61899999999999999</v>
      </c>
      <c r="AD11">
        <v>0.25521718381988778</v>
      </c>
      <c r="AE11">
        <v>0.87421718381988778</v>
      </c>
      <c r="AF11">
        <v>0.12578281618011222</v>
      </c>
      <c r="AG11">
        <v>2783000</v>
      </c>
      <c r="AH11">
        <v>22122000</v>
      </c>
      <c r="AI11">
        <v>24905000</v>
      </c>
      <c r="AJ11">
        <v>0.15931949999999995</v>
      </c>
      <c r="AK11">
        <v>3524465.9789999989</v>
      </c>
      <c r="AL11">
        <v>0.84115840280824927</v>
      </c>
      <c r="AM11">
        <v>18608106.186924089</v>
      </c>
      <c r="AN11">
        <v>0.49227080000000001</v>
      </c>
      <c r="AO11">
        <v>9160227.3191220704</v>
      </c>
      <c r="AP11">
        <v>9447878.8678020183</v>
      </c>
      <c r="AQ11">
        <v>489.94446068293513</v>
      </c>
      <c r="AR11">
        <v>0.60970869999999999</v>
      </c>
      <c r="AS11">
        <v>2148897.5702503165</v>
      </c>
      <c r="AT11">
        <v>1375568.4087496824</v>
      </c>
      <c r="AU11">
        <v>11309124.889372386</v>
      </c>
      <c r="AV11">
        <v>10823447.276551701</v>
      </c>
      <c r="AW11">
        <v>54747703978.196373</v>
      </c>
      <c r="AX11">
        <v>53082146768.072273</v>
      </c>
      <c r="AY11">
        <v>233376136947.21826</v>
      </c>
      <c r="AZ11">
        <v>268220490727.53214</v>
      </c>
      <c r="BA11">
        <v>206811112647.33859</v>
      </c>
      <c r="BB11">
        <v>708407740322.08899</v>
      </c>
      <c r="BC11">
        <v>810333808844.50793</v>
      </c>
      <c r="BD11">
        <v>0.87421718381988778</v>
      </c>
      <c r="BE11">
        <v>0.87421718381988778</v>
      </c>
      <c r="BF11">
        <v>32434220.033906244</v>
      </c>
      <c r="BG11">
        <v>810333808844.50793</v>
      </c>
      <c r="BH11">
        <v>708407740322.08899</v>
      </c>
      <c r="BI11">
        <v>288123840925.41461</v>
      </c>
      <c r="BJ11">
        <v>32536.992926902549</v>
      </c>
      <c r="BK11">
        <v>28444.398326524351</v>
      </c>
      <c r="BL11">
        <v>25477.111955512624</v>
      </c>
      <c r="BM11">
        <v>625.71140244043363</v>
      </c>
      <c r="BN11">
        <v>547.00766012546831</v>
      </c>
      <c r="BO11">
        <v>489.94446068293507</v>
      </c>
      <c r="BP11">
        <v>448119402985.07458</v>
      </c>
      <c r="BQ11">
        <v>448119402985.07458</v>
      </c>
      <c r="BR11">
        <v>550045471507.49353</v>
      </c>
      <c r="BS11">
        <v>970329370904.16797</v>
      </c>
      <c r="BT11">
        <v>661592189734.41028</v>
      </c>
      <c r="BU11">
        <v>868403302381.7489</v>
      </c>
      <c r="BV11">
        <v>37.9</v>
      </c>
      <c r="BW11">
        <v>15.6</v>
      </c>
      <c r="BX11">
        <v>9.4</v>
      </c>
      <c r="BY11">
        <v>17685421.431299817</v>
      </c>
      <c r="BZ11">
        <v>5936493.7939565182</v>
      </c>
      <c r="CA11">
        <v>1237960.3785159125</v>
      </c>
      <c r="CB11">
        <v>24859875.603772249</v>
      </c>
      <c r="CC11">
        <v>24905000</v>
      </c>
      <c r="CD11">
        <v>45124.396227750927</v>
      </c>
      <c r="CE11">
        <v>0.71140426095359155</v>
      </c>
      <c r="CF11">
        <v>0.23879820995788539</v>
      </c>
      <c r="CG11">
        <v>4.9797529088523022E-2</v>
      </c>
      <c r="CH11">
        <v>31.155570338916242</v>
      </c>
      <c r="CI11">
        <v>904827486.80636406</v>
      </c>
      <c r="CJ11">
        <v>774523602.99003422</v>
      </c>
      <c r="CK11">
        <v>31.2</v>
      </c>
      <c r="CL11">
        <v>31.111140677832484</v>
      </c>
      <c r="CM11">
        <v>34.78</v>
      </c>
      <c r="CN11">
        <v>41.41</v>
      </c>
      <c r="CO11">
        <v>32.83</v>
      </c>
      <c r="CP11">
        <v>43.89</v>
      </c>
      <c r="CQ11">
        <v>36.778649138134057</v>
      </c>
      <c r="CR11">
        <v>36.34423933076885</v>
      </c>
      <c r="CS11">
        <v>36.039796052314202</v>
      </c>
      <c r="CT11">
        <v>33.614738027771011</v>
      </c>
      <c r="CU11">
        <v>1912.4897551829708</v>
      </c>
      <c r="CV11">
        <v>1889.9004451999801</v>
      </c>
      <c r="CW11">
        <v>1874.0693947203386</v>
      </c>
      <c r="CX11">
        <v>392473906.54582036</v>
      </c>
      <c r="CY11">
        <v>318592706.1590656</v>
      </c>
      <c r="CZ11">
        <v>486103899.20339298</v>
      </c>
      <c r="DA11">
        <v>88985848.384065598</v>
      </c>
      <c r="DB11">
        <v>915972256.78522873</v>
      </c>
      <c r="DC11">
        <v>1298907476.0643413</v>
      </c>
      <c r="DD11">
        <v>407578554.54313123</v>
      </c>
      <c r="DE11">
        <v>47630557352.831894</v>
      </c>
      <c r="DF11">
        <v>67543188755.345749</v>
      </c>
      <c r="DG11">
        <v>21194084836.242825</v>
      </c>
      <c r="DH11">
        <v>1912.4897551829711</v>
      </c>
      <c r="DI11">
        <v>1889.9004451999804</v>
      </c>
      <c r="DJ11">
        <v>1874.0693947203388</v>
      </c>
      <c r="DK11">
        <v>26.421131344472094</v>
      </c>
      <c r="DL11">
        <v>18.631830018981468</v>
      </c>
      <c r="DM11">
        <v>59.377567918269904</v>
      </c>
      <c r="DN11">
        <v>0.55300593174566981</v>
      </c>
      <c r="DO11">
        <v>3.3677510607508281</v>
      </c>
      <c r="DP11">
        <v>0.55300593174566981</v>
      </c>
      <c r="DQ11">
        <v>0.55300593174566981</v>
      </c>
      <c r="DR11">
        <v>3.0139932176127999</v>
      </c>
      <c r="DS11">
        <v>0.77645322065143796</v>
      </c>
      <c r="DT11">
        <v>2.2962077265437877</v>
      </c>
      <c r="DU11">
        <v>3.0139932176127999</v>
      </c>
      <c r="DV11">
        <v>23.682233522954224</v>
      </c>
      <c r="DW11">
        <v>13.096415615179833</v>
      </c>
      <c r="DX11">
        <v>20.458877784263386</v>
      </c>
      <c r="DY11">
        <v>15.885361546505465</v>
      </c>
      <c r="DZ11">
        <v>8.9785393493384547</v>
      </c>
      <c r="EA11">
        <v>27.061256702975747</v>
      </c>
      <c r="EB11">
        <v>12.258649138134057</v>
      </c>
      <c r="EC11">
        <v>15.79423933076885</v>
      </c>
      <c r="ED11">
        <v>26.609796052314202</v>
      </c>
      <c r="EE11">
        <v>49.994490775424374</v>
      </c>
      <c r="EF11">
        <v>76.85761231517688</v>
      </c>
      <c r="EG11">
        <v>282.18235474352286</v>
      </c>
      <c r="EH11">
        <v>11.997269062609567</v>
      </c>
      <c r="EI11">
        <v>10.488218773444</v>
      </c>
      <c r="EJ11">
        <v>13.594540323473183</v>
      </c>
      <c r="EK11">
        <v>73.599999999999994</v>
      </c>
      <c r="EL11">
        <v>2.7856490715867395</v>
      </c>
      <c r="EM11">
        <v>3.9502292541859196</v>
      </c>
      <c r="EN11">
        <v>1.2395253389513448</v>
      </c>
      <c r="EO11">
        <v>3.7848492820472007E-2</v>
      </c>
      <c r="EP11">
        <v>5.367159312752609E-2</v>
      </c>
      <c r="EQ11">
        <v>1.684137688792588E-2</v>
      </c>
      <c r="ER11">
        <v>0.45407855198144914</v>
      </c>
      <c r="ES11">
        <v>0.56291941064076711</v>
      </c>
      <c r="ET11">
        <v>0.22895077720571769</v>
      </c>
      <c r="EU11">
        <v>868.42057871283964</v>
      </c>
      <c r="EV11">
        <v>1063.8616447816964</v>
      </c>
      <c r="EW11">
        <v>429.0696444586705</v>
      </c>
      <c r="EX11">
        <v>285884</v>
      </c>
      <c r="EY11">
        <v>26026</v>
      </c>
      <c r="EZ11">
        <v>259858</v>
      </c>
      <c r="FA11">
        <v>117.93929161447269</v>
      </c>
      <c r="FB11">
        <v>123.86840761590294</v>
      </c>
      <c r="FC11">
        <v>96.583334106664864</v>
      </c>
      <c r="FD11">
        <v>94.832842977406457</v>
      </c>
      <c r="FE11">
        <v>95.927619035300083</v>
      </c>
      <c r="FF11">
        <v>119.60679520145885</v>
      </c>
      <c r="FG11">
        <v>99.143788642237794</v>
      </c>
      <c r="FH11">
        <v>122.7970221352054</v>
      </c>
      <c r="FI11">
        <v>98.198691600047908</v>
      </c>
      <c r="FJ11">
        <v>89.872794267844995</v>
      </c>
      <c r="FK11">
        <v>94.921084662375705</v>
      </c>
      <c r="FL11">
        <v>122.01591368029776</v>
      </c>
      <c r="FM11">
        <v>99.55658289179263</v>
      </c>
      <c r="FN11">
        <v>92.410480200729864</v>
      </c>
      <c r="FO11">
        <v>96.301641046022397</v>
      </c>
      <c r="FP11">
        <v>122.85916062817432</v>
      </c>
      <c r="FQ11">
        <v>103.4778328383763</v>
      </c>
      <c r="FR11">
        <v>126.21201893434414</v>
      </c>
      <c r="FS11">
        <v>92.801694871568344</v>
      </c>
      <c r="FT11">
        <v>91.880391685682667</v>
      </c>
      <c r="FU11">
        <v>96.347054980144392</v>
      </c>
      <c r="FV11">
        <v>121.800139319528</v>
      </c>
      <c r="FW11">
        <v>95.212506355656998</v>
      </c>
      <c r="FX11">
        <v>96.406329543910758</v>
      </c>
      <c r="FY11">
        <v>96.080501339147446</v>
      </c>
      <c r="FZ11">
        <v>117.75456139432316</v>
      </c>
      <c r="GA11">
        <v>100.4170075463674</v>
      </c>
      <c r="GB11">
        <v>122.58377207820723</v>
      </c>
      <c r="GC11">
        <v>101.27801508127796</v>
      </c>
      <c r="GD11">
        <v>94.764230955534913</v>
      </c>
      <c r="GE11">
        <v>96.521206895448117</v>
      </c>
      <c r="GF11">
        <v>73.599999999999994</v>
      </c>
      <c r="GG11">
        <v>117.57188498402556</v>
      </c>
      <c r="GH11">
        <v>117.93929161447269</v>
      </c>
      <c r="GI11">
        <v>285884</v>
      </c>
      <c r="GJ11">
        <v>118.56207957665288</v>
      </c>
      <c r="GK11">
        <v>103.14022282044762</v>
      </c>
      <c r="GL11">
        <v>64.012749039008312</v>
      </c>
      <c r="GM11">
        <v>95.705435941581172</v>
      </c>
      <c r="GN11">
        <v>120.31388290121544</v>
      </c>
      <c r="GO11">
        <v>114.93055555555559</v>
      </c>
    </row>
    <row r="12" spans="1:197" x14ac:dyDescent="0.35">
      <c r="A12">
        <v>2002</v>
      </c>
      <c r="B12">
        <v>584636000000</v>
      </c>
      <c r="C12">
        <v>70.599999999999994</v>
      </c>
      <c r="D12">
        <v>0.70599999999999996</v>
      </c>
      <c r="E12">
        <v>8280963172.804533</v>
      </c>
      <c r="F12">
        <v>828096317280.45325</v>
      </c>
      <c r="G12">
        <v>24489000000</v>
      </c>
      <c r="H12">
        <v>7992000000</v>
      </c>
      <c r="I12">
        <v>215099000000</v>
      </c>
      <c r="J12">
        <v>77317000000</v>
      </c>
      <c r="K12">
        <v>69.5</v>
      </c>
      <c r="L12">
        <v>0.69499999999999995</v>
      </c>
      <c r="M12">
        <v>352359712.23021585</v>
      </c>
      <c r="N12">
        <v>3094949640.2877698</v>
      </c>
      <c r="O12">
        <v>3094949640.2877698</v>
      </c>
      <c r="P12">
        <v>35235971223.021584</v>
      </c>
      <c r="Q12">
        <v>11499280575.53957</v>
      </c>
      <c r="R12">
        <v>309494964028.77698</v>
      </c>
      <c r="S12">
        <v>356230215827.33813</v>
      </c>
      <c r="T12">
        <v>1112474820.1438849</v>
      </c>
      <c r="U12">
        <v>111247482014.3885</v>
      </c>
      <c r="V12">
        <v>1295574015122.1799</v>
      </c>
      <c r="W12">
        <v>909533000000</v>
      </c>
      <c r="X12">
        <v>65.894549999999995</v>
      </c>
      <c r="Y12">
        <v>0.65894549999999996</v>
      </c>
      <c r="Z12">
        <v>1380285623014.3464</v>
      </c>
      <c r="AA12">
        <v>0.26500000000000001</v>
      </c>
      <c r="AB12">
        <v>0.32</v>
      </c>
      <c r="AC12">
        <v>0.58499999999999996</v>
      </c>
      <c r="AD12">
        <v>0.29347655061724093</v>
      </c>
      <c r="AE12">
        <v>0.87847655061724095</v>
      </c>
      <c r="AF12">
        <v>0.12152344938275905</v>
      </c>
      <c r="AG12">
        <v>2801000</v>
      </c>
      <c r="AH12">
        <v>22213000</v>
      </c>
      <c r="AI12">
        <v>25014000</v>
      </c>
      <c r="AJ12">
        <v>0.16572609999999999</v>
      </c>
      <c r="AK12">
        <v>3681273.8592999997</v>
      </c>
      <c r="AL12">
        <v>0.83399999999999996</v>
      </c>
      <c r="AM12">
        <v>18525642</v>
      </c>
      <c r="AN12">
        <v>0.47925050000000002</v>
      </c>
      <c r="AO12">
        <v>8878423.1913210005</v>
      </c>
      <c r="AP12">
        <v>9647218.8086789995</v>
      </c>
      <c r="AQ12">
        <v>475.32159048466326</v>
      </c>
      <c r="AR12">
        <v>0.62336530000000001</v>
      </c>
      <c r="AS12">
        <v>2294778.3836847022</v>
      </c>
      <c r="AT12">
        <v>1386495.4756152974</v>
      </c>
      <c r="AU12">
        <v>11173201.575005703</v>
      </c>
      <c r="AV12">
        <v>11033714.284294296</v>
      </c>
      <c r="AW12">
        <v>56719400979.427551</v>
      </c>
      <c r="AX12">
        <v>54528081034.960953</v>
      </c>
      <c r="AY12">
        <v>219445524079.32013</v>
      </c>
      <c r="AZ12">
        <v>264990821529.74506</v>
      </c>
      <c r="BA12">
        <v>243026850774.30774</v>
      </c>
      <c r="BB12">
        <v>727463196383.37292</v>
      </c>
      <c r="BC12">
        <v>828096317280.45325</v>
      </c>
      <c r="BD12">
        <v>0.87847655061724095</v>
      </c>
      <c r="BE12">
        <v>0.87847655061724095</v>
      </c>
      <c r="BF12">
        <v>41612692.833214819</v>
      </c>
      <c r="BG12">
        <v>828096317280.45325</v>
      </c>
      <c r="BH12">
        <v>727463196383.37292</v>
      </c>
      <c r="BI12">
        <v>276164925058.74768</v>
      </c>
      <c r="BJ12">
        <v>33105.313715537428</v>
      </c>
      <c r="BK12">
        <v>29082.241799926956</v>
      </c>
      <c r="BL12">
        <v>24716.72270520249</v>
      </c>
      <c r="BM12">
        <v>636.64064837571982</v>
      </c>
      <c r="BN12">
        <v>559.27388076782609</v>
      </c>
      <c r="BO12">
        <v>475.32159048466326</v>
      </c>
      <c r="BP12">
        <v>467477697841.72662</v>
      </c>
      <c r="BQ12">
        <v>467477697841.72668</v>
      </c>
      <c r="BR12">
        <v>568110818738.80701</v>
      </c>
      <c r="BS12">
        <v>1019409090063.4323</v>
      </c>
      <c r="BT12">
        <v>675749118392.04419</v>
      </c>
      <c r="BU12">
        <v>918775969166.35193</v>
      </c>
      <c r="BV12">
        <v>37.5</v>
      </c>
      <c r="BW12">
        <v>15.5</v>
      </c>
      <c r="BX12">
        <v>9.4</v>
      </c>
      <c r="BY12">
        <v>18170976.885343768</v>
      </c>
      <c r="BZ12">
        <v>6211755.4693939844</v>
      </c>
      <c r="CA12">
        <v>1149309.6485534026</v>
      </c>
      <c r="CB12">
        <v>25532042.003291152</v>
      </c>
      <c r="CC12">
        <v>25014000</v>
      </c>
      <c r="CD12">
        <v>-518042.00329115242</v>
      </c>
      <c r="CE12">
        <v>0.71169305153898299</v>
      </c>
      <c r="CF12">
        <v>0.24329254466185163</v>
      </c>
      <c r="CG12">
        <v>4.5014403799165513E-2</v>
      </c>
      <c r="CH12">
        <v>30.882659270682716</v>
      </c>
      <c r="CI12">
        <v>901987731.1913439</v>
      </c>
      <c r="CJ12">
        <v>788497353.6724</v>
      </c>
      <c r="CK12">
        <v>31.53</v>
      </c>
      <c r="CL12">
        <v>30.23531854136543</v>
      </c>
      <c r="CM12">
        <v>34.76</v>
      </c>
      <c r="CN12">
        <v>40.61</v>
      </c>
      <c r="CO12">
        <v>32.61</v>
      </c>
      <c r="CP12">
        <v>43.81</v>
      </c>
      <c r="CQ12">
        <v>36.455319611431619</v>
      </c>
      <c r="CR12">
        <v>36.072545020586091</v>
      </c>
      <c r="CS12">
        <v>35.961486740791095</v>
      </c>
      <c r="CT12">
        <v>33.513789487079329</v>
      </c>
      <c r="CU12">
        <v>1895.6766197944442</v>
      </c>
      <c r="CV12">
        <v>1875.7723410704766</v>
      </c>
      <c r="CW12">
        <v>1869.997310521137</v>
      </c>
      <c r="CX12">
        <v>382831292.41465503</v>
      </c>
      <c r="CY12">
        <v>308613990.13031799</v>
      </c>
      <c r="CZ12">
        <v>497951996.80636567</v>
      </c>
      <c r="DA12">
        <v>93190950.161435753</v>
      </c>
      <c r="DB12">
        <v>911893364.76035058</v>
      </c>
      <c r="DC12">
        <v>1300113325.970118</v>
      </c>
      <c r="DD12">
        <v>401804940.29175377</v>
      </c>
      <c r="DE12">
        <v>47418454967.538231</v>
      </c>
      <c r="DF12">
        <v>67605892950.446136</v>
      </c>
      <c r="DG12">
        <v>20893856895.171196</v>
      </c>
      <c r="DH12">
        <v>1895.6766197944444</v>
      </c>
      <c r="DI12">
        <v>1875.7723410704768</v>
      </c>
      <c r="DJ12">
        <v>1869.997310521137</v>
      </c>
      <c r="DK12">
        <v>27.32214737930844</v>
      </c>
      <c r="DL12">
        <v>19.163625515187139</v>
      </c>
      <c r="DM12">
        <v>62.007413069896231</v>
      </c>
      <c r="DN12">
        <v>0.56452092357682226</v>
      </c>
      <c r="DO12">
        <v>3.6913054394817757</v>
      </c>
      <c r="DP12">
        <v>0.56452092357682215</v>
      </c>
      <c r="DQ12">
        <v>0.56452092357682215</v>
      </c>
      <c r="DR12">
        <v>3.3269104285089921</v>
      </c>
      <c r="DS12">
        <v>0.78094784940764583</v>
      </c>
      <c r="DT12">
        <v>2.4469042122141116</v>
      </c>
      <c r="DU12">
        <v>3.3269104285089921</v>
      </c>
      <c r="DV12">
        <v>23.301266900341055</v>
      </c>
      <c r="DW12">
        <v>13.154052711090564</v>
      </c>
      <c r="DX12">
        <v>20.254689115452784</v>
      </c>
      <c r="DY12">
        <v>15.817855905133307</v>
      </c>
      <c r="DZ12">
        <v>8.3111234528566502</v>
      </c>
      <c r="EA12">
        <v>27.650363287934447</v>
      </c>
      <c r="EB12">
        <v>11.93531961143162</v>
      </c>
      <c r="EC12">
        <v>15.52254502058609</v>
      </c>
      <c r="ED12">
        <v>26.531486740791095</v>
      </c>
      <c r="EE12">
        <v>48.675854859019658</v>
      </c>
      <c r="EF12">
        <v>75.535498883630609</v>
      </c>
      <c r="EG12">
        <v>281.35192726183556</v>
      </c>
      <c r="EH12">
        <v>12.248877740398052</v>
      </c>
      <c r="EI12">
        <v>10.760351866317185</v>
      </c>
      <c r="EJ12">
        <v>13.217517782586732</v>
      </c>
      <c r="EK12">
        <v>74.5</v>
      </c>
      <c r="EL12">
        <v>2.7267256473559689</v>
      </c>
      <c r="EM12">
        <v>3.8875733582332259</v>
      </c>
      <c r="EN12">
        <v>1.2014692487819454</v>
      </c>
      <c r="EO12">
        <v>3.6600344259811665E-2</v>
      </c>
      <c r="EP12">
        <v>5.2182192727962762E-2</v>
      </c>
      <c r="EQ12">
        <v>1.6127104010495909E-2</v>
      </c>
      <c r="ER12">
        <v>0.44831314209491274</v>
      </c>
      <c r="ES12">
        <v>0.56149875490885715</v>
      </c>
      <c r="ET12">
        <v>0.2131602840403555</v>
      </c>
      <c r="EU12">
        <v>849.8567418159106</v>
      </c>
      <c r="EV12">
        <v>1053.2438340035449</v>
      </c>
      <c r="EW12">
        <v>398.60915786538646</v>
      </c>
      <c r="EX12">
        <v>291584</v>
      </c>
      <c r="EY12">
        <v>27333</v>
      </c>
      <c r="EZ12">
        <v>264251</v>
      </c>
      <c r="FA12">
        <v>119.93310095673802</v>
      </c>
      <c r="FB12">
        <v>128.09258030618116</v>
      </c>
      <c r="FC12">
        <v>95.029636624555692</v>
      </c>
      <c r="FD12">
        <v>95.250200659598576</v>
      </c>
      <c r="FE12">
        <v>95.084297369409526</v>
      </c>
      <c r="FF12">
        <v>121.69595655474359</v>
      </c>
      <c r="FG12">
        <v>97.884965522906711</v>
      </c>
      <c r="FH12">
        <v>125.37234125279481</v>
      </c>
      <c r="FI12">
        <v>100.24343844034843</v>
      </c>
      <c r="FJ12">
        <v>87.50234319231393</v>
      </c>
      <c r="FK12">
        <v>92.91326702408999</v>
      </c>
      <c r="FL12">
        <v>125.49852989644492</v>
      </c>
      <c r="FM12">
        <v>98.56296406546366</v>
      </c>
      <c r="FN12">
        <v>92.017777225906372</v>
      </c>
      <c r="FO12">
        <v>95.581730314218575</v>
      </c>
      <c r="FP12">
        <v>125.61418159415932</v>
      </c>
      <c r="FQ12">
        <v>103.21668288765756</v>
      </c>
      <c r="FR12">
        <v>129.48678539491198</v>
      </c>
      <c r="FS12">
        <v>93.338892934890978</v>
      </c>
      <c r="FT12">
        <v>90.299854686364682</v>
      </c>
      <c r="FU12">
        <v>94.818862395932342</v>
      </c>
      <c r="FV12">
        <v>127.19469347671021</v>
      </c>
      <c r="FW12">
        <v>88.134925268893426</v>
      </c>
      <c r="FX12">
        <v>98.505034869734402</v>
      </c>
      <c r="FY12">
        <v>95.871732180194869</v>
      </c>
      <c r="FZ12">
        <v>114.2400616811854</v>
      </c>
      <c r="GA12">
        <v>93.491352649278724</v>
      </c>
      <c r="GB12">
        <v>119.18410985199938</v>
      </c>
      <c r="GC12">
        <v>111.79284763602307</v>
      </c>
      <c r="GD12">
        <v>94.485351640993926</v>
      </c>
      <c r="GE12">
        <v>93.557798534647674</v>
      </c>
      <c r="GF12">
        <v>74.5</v>
      </c>
      <c r="GG12">
        <v>119.00958466453675</v>
      </c>
      <c r="GH12">
        <v>119.93310095673802</v>
      </c>
      <c r="GI12">
        <v>291584</v>
      </c>
      <c r="GJ12">
        <v>120.9259889020678</v>
      </c>
      <c r="GK12">
        <v>108.65914589551811</v>
      </c>
      <c r="GL12">
        <v>60.419580621507151</v>
      </c>
      <c r="GM12">
        <v>98.751590671885509</v>
      </c>
      <c r="GN12">
        <v>123.82050204162039</v>
      </c>
      <c r="GO12">
        <v>120.75471698113208</v>
      </c>
    </row>
    <row r="13" spans="1:197" x14ac:dyDescent="0.35">
      <c r="A13">
        <v>2003</v>
      </c>
      <c r="B13">
        <v>615071000000</v>
      </c>
      <c r="C13">
        <v>72.099999999999994</v>
      </c>
      <c r="D13">
        <v>0.72099999999999997</v>
      </c>
      <c r="E13">
        <v>8530804438.2801676</v>
      </c>
      <c r="F13">
        <v>853080443828.01672</v>
      </c>
      <c r="G13">
        <v>31468000000</v>
      </c>
      <c r="H13">
        <v>8970000000</v>
      </c>
      <c r="I13">
        <v>233132000000</v>
      </c>
      <c r="J13">
        <v>79027000000</v>
      </c>
      <c r="K13">
        <v>72.3</v>
      </c>
      <c r="L13">
        <v>0.72299999999999998</v>
      </c>
      <c r="M13">
        <v>435242047.02627939</v>
      </c>
      <c r="N13">
        <v>3224508990.318119</v>
      </c>
      <c r="O13">
        <v>3224508990.318119</v>
      </c>
      <c r="P13">
        <v>43524204702.627937</v>
      </c>
      <c r="Q13">
        <v>12406639004.149378</v>
      </c>
      <c r="R13">
        <v>322450899031.81189</v>
      </c>
      <c r="S13">
        <v>378381742738.58923</v>
      </c>
      <c r="T13">
        <v>1093042876.901798</v>
      </c>
      <c r="U13">
        <v>109304287690.17981</v>
      </c>
      <c r="V13">
        <v>1340766474256.7856</v>
      </c>
      <c r="W13">
        <v>967668000000</v>
      </c>
      <c r="X13">
        <v>67.696950000000001</v>
      </c>
      <c r="Y13">
        <v>0.6769695</v>
      </c>
      <c r="Z13">
        <v>1429411517062.4377</v>
      </c>
      <c r="AA13">
        <v>0.26200000000000001</v>
      </c>
      <c r="AB13">
        <v>0.315</v>
      </c>
      <c r="AC13">
        <v>0.57699999999999996</v>
      </c>
      <c r="AD13">
        <v>0.3031082132950233</v>
      </c>
      <c r="AE13">
        <v>0.88010821329502331</v>
      </c>
      <c r="AF13">
        <v>0.11989178670497669</v>
      </c>
      <c r="AG13">
        <v>2844000</v>
      </c>
      <c r="AH13">
        <v>22374000</v>
      </c>
      <c r="AI13">
        <v>25218000</v>
      </c>
      <c r="AJ13">
        <v>0.17016750000000003</v>
      </c>
      <c r="AK13">
        <v>3807327.6450000005</v>
      </c>
      <c r="AL13">
        <v>0.83170835099618479</v>
      </c>
      <c r="AM13">
        <v>18608642.645188637</v>
      </c>
      <c r="AN13">
        <v>0.48105920000000002</v>
      </c>
      <c r="AO13">
        <v>8951858.7439803295</v>
      </c>
      <c r="AP13">
        <v>9656783.9012083076</v>
      </c>
      <c r="AQ13">
        <v>480.14754570736403</v>
      </c>
      <c r="AR13">
        <v>0.64843039999999996</v>
      </c>
      <c r="AS13">
        <v>2468786.987778408</v>
      </c>
      <c r="AT13">
        <v>1338540.6572215923</v>
      </c>
      <c r="AU13">
        <v>11420645.731758738</v>
      </c>
      <c r="AV13">
        <v>10995324.558429901</v>
      </c>
      <c r="AW13">
        <v>61639864678.916092</v>
      </c>
      <c r="AX13">
        <v>47664423011.263718</v>
      </c>
      <c r="AY13">
        <v>223507076282.9404</v>
      </c>
      <c r="AZ13">
        <v>268720339805.82526</v>
      </c>
      <c r="BA13">
        <v>258575689125.63562</v>
      </c>
      <c r="BB13">
        <v>750803105214.40125</v>
      </c>
      <c r="BC13">
        <v>853080443828.01672</v>
      </c>
      <c r="BD13">
        <v>0.8801082132950232</v>
      </c>
      <c r="BE13">
        <v>0.88010821329502331</v>
      </c>
      <c r="BF13">
        <v>44932124.344768271</v>
      </c>
      <c r="BG13">
        <v>853080443828.01672</v>
      </c>
      <c r="BH13">
        <v>750803105214.40125</v>
      </c>
      <c r="BI13">
        <v>285146940961.85651</v>
      </c>
      <c r="BJ13">
        <v>33828.23553921868</v>
      </c>
      <c r="BK13">
        <v>29772.507939344963</v>
      </c>
      <c r="BL13">
        <v>24967.672376782928</v>
      </c>
      <c r="BM13">
        <v>650.54299113882075</v>
      </c>
      <c r="BN13">
        <v>572.54822960278773</v>
      </c>
      <c r="BO13">
        <v>480.14754570736397</v>
      </c>
      <c r="BP13">
        <v>487686030428.76904</v>
      </c>
      <c r="BQ13">
        <v>487686030428.76892</v>
      </c>
      <c r="BR13">
        <v>589963369042.3844</v>
      </c>
      <c r="BS13">
        <v>1055619533294.9292</v>
      </c>
      <c r="BT13">
        <v>694766505555.67822</v>
      </c>
      <c r="BU13">
        <v>953342194681.31384</v>
      </c>
      <c r="BV13">
        <v>37.4</v>
      </c>
      <c r="BW13">
        <v>15.6</v>
      </c>
      <c r="BX13">
        <v>9.3000000000000007</v>
      </c>
      <c r="BY13">
        <v>18160614.938145589</v>
      </c>
      <c r="BZ13">
        <v>6300548.3149553314</v>
      </c>
      <c r="CA13">
        <v>1122067.6034618651</v>
      </c>
      <c r="CB13">
        <v>25583230.856562786</v>
      </c>
      <c r="CC13">
        <v>25218000</v>
      </c>
      <c r="CD13">
        <v>-365230.8565627858</v>
      </c>
      <c r="CE13">
        <v>0.70986401365669982</v>
      </c>
      <c r="CF13">
        <v>0.24627649065438784</v>
      </c>
      <c r="CG13">
        <v>4.3859495688912356E-2</v>
      </c>
      <c r="CH13">
        <v>30.798720674875913</v>
      </c>
      <c r="CI13">
        <v>905908717.5452795</v>
      </c>
      <c r="CJ13">
        <v>787930781.11214364</v>
      </c>
      <c r="CK13">
        <v>31.64</v>
      </c>
      <c r="CL13">
        <v>29.957441349751825</v>
      </c>
      <c r="CM13">
        <v>34.840000000000003</v>
      </c>
      <c r="CN13">
        <v>40.33</v>
      </c>
      <c r="CO13">
        <v>32.97</v>
      </c>
      <c r="CP13">
        <v>44.2</v>
      </c>
      <c r="CQ13">
        <v>36.481208062440054</v>
      </c>
      <c r="CR13">
        <v>36.10144571911701</v>
      </c>
      <c r="CS13">
        <v>36.026766570055955</v>
      </c>
      <c r="CT13">
        <v>33.782849755282761</v>
      </c>
      <c r="CU13">
        <v>1897.0228192468828</v>
      </c>
      <c r="CV13">
        <v>1877.2751773940845</v>
      </c>
      <c r="CW13">
        <v>1873.3918616429096</v>
      </c>
      <c r="CX13">
        <v>387763961.91189986</v>
      </c>
      <c r="CY13">
        <v>311882758.6402747</v>
      </c>
      <c r="CZ13">
        <v>522675672.61600643</v>
      </c>
      <c r="DA13">
        <v>99566179.217103183</v>
      </c>
      <c r="DB13">
        <v>919983104.91861331</v>
      </c>
      <c r="DC13">
        <v>1308868559.0079846</v>
      </c>
      <c r="DD13">
        <v>411448937.85737789</v>
      </c>
      <c r="DE13">
        <v>47839121455.767891</v>
      </c>
      <c r="DF13">
        <v>68061165068.415199</v>
      </c>
      <c r="DG13">
        <v>21395344768.583649</v>
      </c>
      <c r="DH13">
        <v>1897.0228192468828</v>
      </c>
      <c r="DI13">
        <v>1877.2751773940845</v>
      </c>
      <c r="DJ13">
        <v>1873.3918616429094</v>
      </c>
      <c r="DK13">
        <v>28.026569749957886</v>
      </c>
      <c r="DL13">
        <v>19.699434661587777</v>
      </c>
      <c r="DM13">
        <v>62.666271039741844</v>
      </c>
      <c r="DN13">
        <v>0.57167648603029952</v>
      </c>
      <c r="DO13">
        <v>3.7020194911932691</v>
      </c>
      <c r="DP13">
        <v>0.57167648603029964</v>
      </c>
      <c r="DQ13">
        <v>0.57167648603029964</v>
      </c>
      <c r="DR13">
        <v>3.3433365669836883</v>
      </c>
      <c r="DS13">
        <v>0.78577641054629488</v>
      </c>
      <c r="DT13">
        <v>2.4365209853281073</v>
      </c>
      <c r="DU13">
        <v>3.3433365669836883</v>
      </c>
      <c r="DV13">
        <v>23.211652262218006</v>
      </c>
      <c r="DW13">
        <v>13.269555800222047</v>
      </c>
      <c r="DX13">
        <v>20.216106286269653</v>
      </c>
      <c r="DY13">
        <v>15.885339432847356</v>
      </c>
      <c r="DZ13">
        <v>8.294721354066148</v>
      </c>
      <c r="EA13">
        <v>27.732045215989807</v>
      </c>
      <c r="EB13">
        <v>11.961208062440054</v>
      </c>
      <c r="EC13">
        <v>15.551445719117009</v>
      </c>
      <c r="ED13">
        <v>26.596766570055955</v>
      </c>
      <c r="EE13">
        <v>48.78143581745536</v>
      </c>
      <c r="EF13">
        <v>75.676134886214157</v>
      </c>
      <c r="EG13">
        <v>282.0441841999571</v>
      </c>
      <c r="EH13">
        <v>12.53402645944275</v>
      </c>
      <c r="EI13">
        <v>11.031299632612704</v>
      </c>
      <c r="EJ13">
        <v>13.327522601110809</v>
      </c>
      <c r="EK13">
        <v>75.5</v>
      </c>
      <c r="EL13">
        <v>2.6938723030888734</v>
      </c>
      <c r="EM13">
        <v>3.8325972951507379</v>
      </c>
      <c r="EN13">
        <v>1.2047948401480477</v>
      </c>
      <c r="EO13">
        <v>3.5680427855481769E-2</v>
      </c>
      <c r="EP13">
        <v>5.0762878081466727E-2</v>
      </c>
      <c r="EQ13">
        <v>1.5957547551629769E-2</v>
      </c>
      <c r="ER13">
        <v>0.44721942682484656</v>
      </c>
      <c r="ES13">
        <v>0.55998051833044737</v>
      </c>
      <c r="ET13">
        <v>0.21267457565264622</v>
      </c>
      <c r="EU13">
        <v>848.38545789724537</v>
      </c>
      <c r="EV13">
        <v>1051.2375268860219</v>
      </c>
      <c r="EW13">
        <v>398.42281920602665</v>
      </c>
      <c r="EX13">
        <v>298917</v>
      </c>
      <c r="EY13">
        <v>28647</v>
      </c>
      <c r="EZ13">
        <v>270270</v>
      </c>
      <c r="FA13">
        <v>122.66488753335875</v>
      </c>
      <c r="FB13">
        <v>131.3950761835813</v>
      </c>
      <c r="FC13">
        <v>94.664160938898888</v>
      </c>
      <c r="FD13">
        <v>96.086573499073467</v>
      </c>
      <c r="FE13">
        <v>95.151820715806082</v>
      </c>
      <c r="FF13">
        <v>124.35343515782048</v>
      </c>
      <c r="FG13">
        <v>97.646163062193565</v>
      </c>
      <c r="FH13">
        <v>128.2909565961387</v>
      </c>
      <c r="FI13">
        <v>101.51407014655058</v>
      </c>
      <c r="FJ13">
        <v>87.692141220235001</v>
      </c>
      <c r="FK13">
        <v>91.793788226696876</v>
      </c>
      <c r="FL13">
        <v>129.00743065872808</v>
      </c>
      <c r="FM13">
        <v>98.375213071871798</v>
      </c>
      <c r="FN13">
        <v>92.41035155815797</v>
      </c>
      <c r="FO13">
        <v>95.658308741698477</v>
      </c>
      <c r="FP13">
        <v>128.59563043780972</v>
      </c>
      <c r="FQ13">
        <v>102.93759528133224</v>
      </c>
      <c r="FR13">
        <v>132.74728799774613</v>
      </c>
      <c r="FS13">
        <v>93.916002599117334</v>
      </c>
      <c r="FT13">
        <v>90.46797975053525</v>
      </c>
      <c r="FU13">
        <v>93.4779828085546</v>
      </c>
      <c r="FV13">
        <v>128.54619700459867</v>
      </c>
      <c r="FW13">
        <v>87.9609899688881</v>
      </c>
      <c r="FX13">
        <v>98.796028557142165</v>
      </c>
      <c r="FY13">
        <v>96.04576531606493</v>
      </c>
      <c r="FZ13">
        <v>115.3999446600962</v>
      </c>
      <c r="GA13">
        <v>93.278322654669381</v>
      </c>
      <c r="GB13">
        <v>120.17603788197304</v>
      </c>
      <c r="GC13">
        <v>112.34480863263244</v>
      </c>
      <c r="GD13">
        <v>94.717829665441442</v>
      </c>
      <c r="GE13">
        <v>93.816760640713881</v>
      </c>
      <c r="GF13">
        <v>75.5</v>
      </c>
      <c r="GG13">
        <v>120.6070287539936</v>
      </c>
      <c r="GH13">
        <v>122.66488753335875</v>
      </c>
      <c r="GI13">
        <v>298917</v>
      </c>
      <c r="GJ13">
        <v>123.96713751316739</v>
      </c>
      <c r="GK13">
        <v>107.87462333118252</v>
      </c>
      <c r="GL13">
        <v>54.218556070165761</v>
      </c>
      <c r="GM13">
        <v>96.275857045927822</v>
      </c>
      <c r="GN13">
        <v>121.17812673188222</v>
      </c>
      <c r="GO13">
        <v>120.2290076335878</v>
      </c>
    </row>
    <row r="14" spans="1:197" x14ac:dyDescent="0.35">
      <c r="A14">
        <v>2004</v>
      </c>
      <c r="B14">
        <v>655356000000</v>
      </c>
      <c r="C14">
        <v>75.099999999999994</v>
      </c>
      <c r="D14">
        <v>0.75099999999999989</v>
      </c>
      <c r="E14">
        <v>8726444740.3462067</v>
      </c>
      <c r="F14">
        <v>872644474034.62061</v>
      </c>
      <c r="G14">
        <v>35896000000</v>
      </c>
      <c r="H14">
        <v>8178000000</v>
      </c>
      <c r="I14">
        <v>237341000000</v>
      </c>
      <c r="J14">
        <v>80403000000</v>
      </c>
      <c r="K14">
        <v>72.7</v>
      </c>
      <c r="L14">
        <v>0.72699999999999998</v>
      </c>
      <c r="M14">
        <v>493755158.18431908</v>
      </c>
      <c r="N14">
        <v>3264662998.6244841</v>
      </c>
      <c r="O14">
        <v>3264662998.6244841</v>
      </c>
      <c r="P14">
        <v>49375515818.431915</v>
      </c>
      <c r="Q14">
        <v>11248968363.136177</v>
      </c>
      <c r="R14">
        <v>326466299862.44843</v>
      </c>
      <c r="S14">
        <v>387090784044.01654</v>
      </c>
      <c r="T14">
        <v>1105955983.4938102</v>
      </c>
      <c r="U14">
        <v>110595598349.38103</v>
      </c>
      <c r="V14">
        <v>1370330856428.0183</v>
      </c>
      <c r="W14">
        <v>1017174000000</v>
      </c>
      <c r="X14">
        <v>69.439099999999996</v>
      </c>
      <c r="Y14">
        <v>0.69439099999999998</v>
      </c>
      <c r="Z14">
        <v>1464843294339.9324</v>
      </c>
      <c r="AA14">
        <v>0.254</v>
      </c>
      <c r="AB14">
        <v>0.317</v>
      </c>
      <c r="AC14">
        <v>0.57099999999999995</v>
      </c>
      <c r="AD14">
        <v>0.3085596642526427</v>
      </c>
      <c r="AE14">
        <v>0.87955966425264265</v>
      </c>
      <c r="AF14">
        <v>0.12044033574735735</v>
      </c>
      <c r="AG14">
        <v>2902000</v>
      </c>
      <c r="AH14">
        <v>22463000</v>
      </c>
      <c r="AI14">
        <v>25365000</v>
      </c>
      <c r="AJ14">
        <v>0.17186029999999997</v>
      </c>
      <c r="AK14">
        <v>3860497.9188999995</v>
      </c>
      <c r="AL14">
        <v>0.82719424460431656</v>
      </c>
      <c r="AM14">
        <v>18581264.316546764</v>
      </c>
      <c r="AN14">
        <v>0.48015259999999998</v>
      </c>
      <c r="AO14">
        <v>8921842.3728771508</v>
      </c>
      <c r="AP14">
        <v>9659421.9436696116</v>
      </c>
      <c r="AQ14">
        <v>477.76372244901142</v>
      </c>
      <c r="AR14">
        <v>0.66451610000000005</v>
      </c>
      <c r="AS14">
        <v>2565363.0211255443</v>
      </c>
      <c r="AT14">
        <v>1295134.8977744554</v>
      </c>
      <c r="AU14">
        <v>11487205.394002695</v>
      </c>
      <c r="AV14">
        <v>10954556.841444068</v>
      </c>
      <c r="AW14">
        <v>63733144093.111069</v>
      </c>
      <c r="AX14">
        <v>46862454256.269958</v>
      </c>
      <c r="AY14">
        <v>221651696404.79364</v>
      </c>
      <c r="AZ14">
        <v>276628298268.97473</v>
      </c>
      <c r="BA14">
        <v>269262885920.04651</v>
      </c>
      <c r="BB14">
        <v>767542880593.81494</v>
      </c>
      <c r="BC14">
        <v>872644474034.62061</v>
      </c>
      <c r="BD14">
        <v>0.87955966425264276</v>
      </c>
      <c r="BE14">
        <v>0.87955966425264265</v>
      </c>
      <c r="BF14">
        <v>44750995.326457806</v>
      </c>
      <c r="BG14">
        <v>872644474034.62061</v>
      </c>
      <c r="BH14">
        <v>767542880593.81482</v>
      </c>
      <c r="BI14">
        <v>285384840497.90472</v>
      </c>
      <c r="BJ14">
        <v>34403.48803605837</v>
      </c>
      <c r="BK14">
        <v>30259.920386115311</v>
      </c>
      <c r="BL14">
        <v>24843.713567348597</v>
      </c>
      <c r="BM14">
        <v>661.60553915496871</v>
      </c>
      <c r="BN14">
        <v>581.92154588683286</v>
      </c>
      <c r="BO14">
        <v>477.76372244901148</v>
      </c>
      <c r="BP14">
        <v>497686382393.39758</v>
      </c>
      <c r="BQ14">
        <v>497686382393.39771</v>
      </c>
      <c r="BR14">
        <v>602787975834.20337</v>
      </c>
      <c r="BS14">
        <v>1084946015930.1135</v>
      </c>
      <c r="BT14">
        <v>710581536569.26123</v>
      </c>
      <c r="BU14">
        <v>979844422489.30774</v>
      </c>
      <c r="BV14">
        <v>37.299999999999997</v>
      </c>
      <c r="BW14">
        <v>15.6</v>
      </c>
      <c r="BX14">
        <v>9.1999999999999993</v>
      </c>
      <c r="BY14">
        <v>18273239.519781083</v>
      </c>
      <c r="BZ14">
        <v>6378416.2658066936</v>
      </c>
      <c r="CA14">
        <v>1079282.3749000386</v>
      </c>
      <c r="CB14">
        <v>25730938.160487816</v>
      </c>
      <c r="CC14">
        <v>25365000</v>
      </c>
      <c r="CD14">
        <v>-365938.16048781574</v>
      </c>
      <c r="CE14">
        <v>0.71016608122906677</v>
      </c>
      <c r="CF14">
        <v>0.24788898974547804</v>
      </c>
      <c r="CG14">
        <v>4.1944929025455213E-2</v>
      </c>
      <c r="CH14">
        <v>30.742156416907832</v>
      </c>
      <c r="CI14">
        <v>912274908.91055584</v>
      </c>
      <c r="CJ14">
        <v>791024525.6834991</v>
      </c>
      <c r="CK14">
        <v>31.39</v>
      </c>
      <c r="CL14">
        <v>30.094312833815664</v>
      </c>
      <c r="CM14">
        <v>34.69</v>
      </c>
      <c r="CN14">
        <v>41.12</v>
      </c>
      <c r="CO14">
        <v>32.64</v>
      </c>
      <c r="CP14">
        <v>43.59</v>
      </c>
      <c r="CQ14">
        <v>36.551363402147203</v>
      </c>
      <c r="CR14">
        <v>36.138719594556484</v>
      </c>
      <c r="CS14">
        <v>36.125970165071585</v>
      </c>
      <c r="CT14">
        <v>33.401677468031828</v>
      </c>
      <c r="CU14">
        <v>1900.6708969116546</v>
      </c>
      <c r="CV14">
        <v>1879.2134189169371</v>
      </c>
      <c r="CW14">
        <v>1878.5504485837225</v>
      </c>
      <c r="CX14">
        <v>389642715.09675044</v>
      </c>
      <c r="CY14">
        <v>309498711.91510832</v>
      </c>
      <c r="CZ14">
        <v>539253265.37751496</v>
      </c>
      <c r="DA14">
        <v>105487727.42868237</v>
      </c>
      <c r="DB14">
        <v>927125332.69546378</v>
      </c>
      <c r="DC14">
        <v>1311774774.873498</v>
      </c>
      <c r="DD14">
        <v>414986439.34379071</v>
      </c>
      <c r="DE14">
        <v>48210517300.164116</v>
      </c>
      <c r="DF14">
        <v>68212288293.42189</v>
      </c>
      <c r="DG14">
        <v>21579294845.877117</v>
      </c>
      <c r="DH14">
        <v>1900.6708969116544</v>
      </c>
      <c r="DI14">
        <v>1879.2134189169371</v>
      </c>
      <c r="DJ14">
        <v>1878.5504485837223</v>
      </c>
      <c r="DK14">
        <v>28.423898625608679</v>
      </c>
      <c r="DL14">
        <v>20.08920812821005</v>
      </c>
      <c r="DM14">
        <v>63.502114699073687</v>
      </c>
      <c r="DN14">
        <v>0.57031975472482377</v>
      </c>
      <c r="DO14">
        <v>3.8016946311416957</v>
      </c>
      <c r="DP14">
        <v>0.57031975472482366</v>
      </c>
      <c r="DQ14">
        <v>0.57031975472482366</v>
      </c>
      <c r="DR14">
        <v>3.4334144055437368</v>
      </c>
      <c r="DS14">
        <v>0.78534762170922912</v>
      </c>
      <c r="DT14">
        <v>2.4899063851097525</v>
      </c>
      <c r="DU14">
        <v>3.4334144055437368</v>
      </c>
      <c r="DV14">
        <v>23.276382591615754</v>
      </c>
      <c r="DW14">
        <v>13.274980810531449</v>
      </c>
      <c r="DX14">
        <v>20.241839267110649</v>
      </c>
      <c r="DY14">
        <v>15.896880327445835</v>
      </c>
      <c r="DZ14">
        <v>8.1485660622878129</v>
      </c>
      <c r="EA14">
        <v>27.977404102783773</v>
      </c>
      <c r="EB14">
        <v>12.031363402147203</v>
      </c>
      <c r="EC14">
        <v>15.588719594556483</v>
      </c>
      <c r="ED14">
        <v>26.695970165071586</v>
      </c>
      <c r="EE14">
        <v>49.067550579719423</v>
      </c>
      <c r="EF14">
        <v>75.857516275214039</v>
      </c>
      <c r="EG14">
        <v>283.09618414710059</v>
      </c>
      <c r="EH14">
        <v>12.793068461225847</v>
      </c>
      <c r="EI14">
        <v>11.252267000516877</v>
      </c>
      <c r="EJ14">
        <v>13.224938188952434</v>
      </c>
      <c r="EK14">
        <v>76.5</v>
      </c>
      <c r="EL14">
        <v>2.6913971586950733</v>
      </c>
      <c r="EM14">
        <v>3.8080147067905439</v>
      </c>
      <c r="EN14">
        <v>1.2046842906338033</v>
      </c>
      <c r="EO14">
        <v>3.518166220516436E-2</v>
      </c>
      <c r="EP14">
        <v>4.9777970023405803E-2</v>
      </c>
      <c r="EQ14">
        <v>1.5747507067108542E-2</v>
      </c>
      <c r="ER14">
        <v>0.45008141317038952</v>
      </c>
      <c r="ES14">
        <v>0.56011500944708736</v>
      </c>
      <c r="ET14">
        <v>0.20825980759260207</v>
      </c>
      <c r="EU14">
        <v>855.45664325382916</v>
      </c>
      <c r="EV14">
        <v>1052.5756418897536</v>
      </c>
      <c r="EW14">
        <v>391.22655497504229</v>
      </c>
      <c r="EX14">
        <v>306870</v>
      </c>
      <c r="EY14">
        <v>29422</v>
      </c>
      <c r="EZ14">
        <v>277448</v>
      </c>
      <c r="FA14">
        <v>125.92269847321316</v>
      </c>
      <c r="FB14">
        <v>133.25784634603227</v>
      </c>
      <c r="FC14">
        <v>94.928150863033252</v>
      </c>
      <c r="FD14">
        <v>96.125856701893184</v>
      </c>
      <c r="FE14">
        <v>95.334802822501828</v>
      </c>
      <c r="FF14">
        <v>126.46807764285923</v>
      </c>
      <c r="FG14">
        <v>98.271050910565393</v>
      </c>
      <c r="FH14">
        <v>130.94235886618063</v>
      </c>
      <c r="FI14">
        <v>101.27315186448081</v>
      </c>
      <c r="FJ14">
        <v>88.206476555331406</v>
      </c>
      <c r="FK14">
        <v>91.709447599246047</v>
      </c>
      <c r="FL14">
        <v>131.55997464446659</v>
      </c>
      <c r="FM14">
        <v>98.500434389832833</v>
      </c>
      <c r="FN14">
        <v>92.477488815857086</v>
      </c>
      <c r="FO14">
        <v>95.757073647473462</v>
      </c>
      <c r="FP14">
        <v>130.70089852618719</v>
      </c>
      <c r="FQ14">
        <v>102.96231791306751</v>
      </c>
      <c r="FR14">
        <v>135.4063417631393</v>
      </c>
      <c r="FS14">
        <v>93.864753754031298</v>
      </c>
      <c r="FT14">
        <v>90.68481439532566</v>
      </c>
      <c r="FU14">
        <v>92.878407482696204</v>
      </c>
      <c r="FV14">
        <v>130.26074810066396</v>
      </c>
      <c r="FW14">
        <v>86.411092919276911</v>
      </c>
      <c r="FX14">
        <v>99.670125054448775</v>
      </c>
      <c r="FY14">
        <v>96.310237710134857</v>
      </c>
      <c r="FZ14">
        <v>114.82701020577537</v>
      </c>
      <c r="GA14">
        <v>91.342020873948272</v>
      </c>
      <c r="GB14">
        <v>119.2510206397875</v>
      </c>
      <c r="GC14">
        <v>115.37165840749664</v>
      </c>
      <c r="GD14">
        <v>95.071118821480013</v>
      </c>
      <c r="GE14">
        <v>93.808152206338832</v>
      </c>
      <c r="GF14">
        <v>76.5</v>
      </c>
      <c r="GG14">
        <v>122.20447284345049</v>
      </c>
      <c r="GH14">
        <v>125.92269847321316</v>
      </c>
      <c r="GI14">
        <v>306870</v>
      </c>
      <c r="GJ14">
        <v>127.26541310352263</v>
      </c>
      <c r="GK14">
        <v>108.26712174421216</v>
      </c>
      <c r="GL14">
        <v>50.485443467810619</v>
      </c>
      <c r="GM14">
        <v>95.36311457583308</v>
      </c>
      <c r="GN14">
        <v>120.62600402947767</v>
      </c>
      <c r="GO14">
        <v>124.80314960629921</v>
      </c>
    </row>
    <row r="15" spans="1:197" x14ac:dyDescent="0.35">
      <c r="A15">
        <v>2005</v>
      </c>
      <c r="B15">
        <v>691314000000</v>
      </c>
      <c r="C15">
        <v>77.2</v>
      </c>
      <c r="D15">
        <v>0.77200000000000002</v>
      </c>
      <c r="E15">
        <v>8954844559.5854912</v>
      </c>
      <c r="F15">
        <v>895484455958.54919</v>
      </c>
      <c r="G15">
        <v>45630000000</v>
      </c>
      <c r="H15">
        <v>9961000000</v>
      </c>
      <c r="I15">
        <v>252256000000</v>
      </c>
      <c r="J15">
        <v>85854000000</v>
      </c>
      <c r="K15">
        <v>76.099999999999994</v>
      </c>
      <c r="L15">
        <v>0.7609999999999999</v>
      </c>
      <c r="M15">
        <v>599605781.86596584</v>
      </c>
      <c r="N15">
        <v>3314796320.6307492</v>
      </c>
      <c r="O15">
        <v>3314796320.6307492</v>
      </c>
      <c r="P15">
        <v>59960578186.596588</v>
      </c>
      <c r="Q15">
        <v>13089356110.381079</v>
      </c>
      <c r="R15">
        <v>331479632063.07495</v>
      </c>
      <c r="S15">
        <v>404529566360.05261</v>
      </c>
      <c r="T15">
        <v>1128173455.9789751</v>
      </c>
      <c r="U15">
        <v>112817345597.89752</v>
      </c>
      <c r="V15">
        <v>1412831367916.4993</v>
      </c>
      <c r="W15">
        <v>1085015000000</v>
      </c>
      <c r="X15">
        <v>71.613600000000005</v>
      </c>
      <c r="Y15">
        <v>0.71613600000000011</v>
      </c>
      <c r="Z15">
        <v>1515096294558.5752</v>
      </c>
      <c r="AA15">
        <v>0.246</v>
      </c>
      <c r="AB15">
        <v>0.316</v>
      </c>
      <c r="AC15">
        <v>0.56200000000000006</v>
      </c>
      <c r="AD15">
        <v>0.3243266691475451</v>
      </c>
      <c r="AE15">
        <v>0.8863266691475451</v>
      </c>
      <c r="AF15">
        <v>0.1136733308524549</v>
      </c>
      <c r="AG15">
        <v>2933000</v>
      </c>
      <c r="AH15">
        <v>22759000</v>
      </c>
      <c r="AI15">
        <v>25692000</v>
      </c>
      <c r="AJ15">
        <v>0.17249159999999997</v>
      </c>
      <c r="AK15">
        <v>3925736.3243999993</v>
      </c>
      <c r="AL15">
        <v>0.82593250444049737</v>
      </c>
      <c r="AM15">
        <v>18797397.868561279</v>
      </c>
      <c r="AN15">
        <v>0.46568619999999999</v>
      </c>
      <c r="AO15">
        <v>8753688.7832984012</v>
      </c>
      <c r="AP15">
        <v>10043709.085262878</v>
      </c>
      <c r="AQ15">
        <v>483.948015031507</v>
      </c>
      <c r="AR15">
        <v>0.68011250000000001</v>
      </c>
      <c r="AS15">
        <v>2669942.3459284948</v>
      </c>
      <c r="AT15">
        <v>1255793.9784715048</v>
      </c>
      <c r="AU15">
        <v>11423631.129226897</v>
      </c>
      <c r="AV15">
        <v>11299503.063734382</v>
      </c>
      <c r="AW15">
        <v>67189891525.154343</v>
      </c>
      <c r="AX15">
        <v>45627454072.743179</v>
      </c>
      <c r="AY15">
        <v>220289176165.8031</v>
      </c>
      <c r="AZ15">
        <v>282973088082.90155</v>
      </c>
      <c r="BA15">
        <v>290429490874.43781</v>
      </c>
      <c r="BB15">
        <v>793691755123.14246</v>
      </c>
      <c r="BC15">
        <v>895484455958.54919</v>
      </c>
      <c r="BD15">
        <v>0.8863266691475451</v>
      </c>
      <c r="BE15">
        <v>0.8863266691475451</v>
      </c>
      <c r="BF15">
        <v>47611905.944396704</v>
      </c>
      <c r="BG15">
        <v>895484455958.54919</v>
      </c>
      <c r="BH15">
        <v>793691755123.14246</v>
      </c>
      <c r="BI15">
        <v>287479067690.95746</v>
      </c>
      <c r="BJ15">
        <v>34854.602831953496</v>
      </c>
      <c r="BK15">
        <v>30892.564032505936</v>
      </c>
      <c r="BL15">
        <v>25165.296781638364</v>
      </c>
      <c r="BM15">
        <v>670.28082369141339</v>
      </c>
      <c r="BN15">
        <v>594.08776985588338</v>
      </c>
      <c r="BO15">
        <v>483.948015031507</v>
      </c>
      <c r="BP15">
        <v>517346911957.95013</v>
      </c>
      <c r="BQ15">
        <v>517346911957.95007</v>
      </c>
      <c r="BR15">
        <v>619139612793.35681</v>
      </c>
      <c r="BS15">
        <v>1125352300225.5417</v>
      </c>
      <c r="BT15">
        <v>733130108515.69727</v>
      </c>
      <c r="BU15">
        <v>1023559599390.135</v>
      </c>
      <c r="BV15">
        <v>37.299999999999997</v>
      </c>
      <c r="BW15">
        <v>15.7</v>
      </c>
      <c r="BX15">
        <v>9.5</v>
      </c>
      <c r="BY15">
        <v>18648697.957720961</v>
      </c>
      <c r="BZ15">
        <v>6340199.187239795</v>
      </c>
      <c r="CA15">
        <v>1063325.7492149943</v>
      </c>
      <c r="CB15">
        <v>26052222.894175753</v>
      </c>
      <c r="CC15">
        <v>25692000</v>
      </c>
      <c r="CD15">
        <v>-360222.894175753</v>
      </c>
      <c r="CE15">
        <v>0.71581983746538858</v>
      </c>
      <c r="CF15">
        <v>0.24336499856437252</v>
      </c>
      <c r="CG15">
        <v>4.0815163970238863E-2</v>
      </c>
      <c r="CH15">
        <v>30.908654472636911</v>
      </c>
      <c r="CI15">
        <v>925778621.62151575</v>
      </c>
      <c r="CJ15">
        <v>805239155.68019915</v>
      </c>
      <c r="CK15">
        <v>31.26</v>
      </c>
      <c r="CL15">
        <v>30.557308945273821</v>
      </c>
      <c r="CM15">
        <v>34.6</v>
      </c>
      <c r="CN15">
        <v>41.44</v>
      </c>
      <c r="CO15">
        <v>32.380000000000003</v>
      </c>
      <c r="CP15">
        <v>44.4</v>
      </c>
      <c r="CQ15">
        <v>36.578046183425606</v>
      </c>
      <c r="CR15">
        <v>36.155977167333582</v>
      </c>
      <c r="CS15">
        <v>36.198651553044918</v>
      </c>
      <c r="CT15">
        <v>33.209768563431375</v>
      </c>
      <c r="CU15">
        <v>1902.0584015381314</v>
      </c>
      <c r="CV15">
        <v>1880.1108127013463</v>
      </c>
      <c r="CW15">
        <v>1882.3298807583358</v>
      </c>
      <c r="CX15">
        <v>383653298.98848277</v>
      </c>
      <c r="CY15">
        <v>302877631.9021247</v>
      </c>
      <c r="CZ15">
        <v>560307357.84806275</v>
      </c>
      <c r="DA15">
        <v>110642410.81527682</v>
      </c>
      <c r="DB15">
        <v>939763162.54457068</v>
      </c>
      <c r="DC15">
        <v>1336167176.8573503</v>
      </c>
      <c r="DD15">
        <v>413520042.7174015</v>
      </c>
      <c r="DE15">
        <v>48867684452.317673</v>
      </c>
      <c r="DF15">
        <v>69480693196.582214</v>
      </c>
      <c r="DG15">
        <v>21503042221.304878</v>
      </c>
      <c r="DH15">
        <v>1902.0584015381314</v>
      </c>
      <c r="DI15">
        <v>1880.110812701346</v>
      </c>
      <c r="DJ15">
        <v>1882.3298807583358</v>
      </c>
      <c r="DK15">
        <v>28.911363076657754</v>
      </c>
      <c r="DL15">
        <v>20.334157633101984</v>
      </c>
      <c r="DM15">
        <v>65.703789881260988</v>
      </c>
      <c r="DN15">
        <v>0.57772852282976694</v>
      </c>
      <c r="DO15">
        <v>3.9145538813118228</v>
      </c>
      <c r="DP15">
        <v>0.57772852282976694</v>
      </c>
      <c r="DQ15">
        <v>0.57772852282976694</v>
      </c>
      <c r="DR15">
        <v>3.5604665327858607</v>
      </c>
      <c r="DS15">
        <v>0.78007565128013256</v>
      </c>
      <c r="DT15">
        <v>2.5502034440428152</v>
      </c>
      <c r="DU15">
        <v>3.5604665327858607</v>
      </c>
      <c r="DV15">
        <v>23.183992463938161</v>
      </c>
      <c r="DW15">
        <v>13.394053719487445</v>
      </c>
      <c r="DX15">
        <v>20.311483470566092</v>
      </c>
      <c r="DY15">
        <v>15.84449369676749</v>
      </c>
      <c r="DZ15">
        <v>7.9374886961251701</v>
      </c>
      <c r="EA15">
        <v>28.261162856919746</v>
      </c>
      <c r="EB15">
        <v>12.058046183425606</v>
      </c>
      <c r="EC15">
        <v>15.605977167333581</v>
      </c>
      <c r="ED15">
        <v>26.768651553044919</v>
      </c>
      <c r="EE15">
        <v>49.176371058016336</v>
      </c>
      <c r="EF15">
        <v>75.941494731550279</v>
      </c>
      <c r="EG15">
        <v>283.86693057311686</v>
      </c>
      <c r="EH15">
        <v>12.888248731556962</v>
      </c>
      <c r="EI15">
        <v>11.423198569385956</v>
      </c>
      <c r="EJ15">
        <v>13.36922769961023</v>
      </c>
      <c r="EK15">
        <v>78.099999999999994</v>
      </c>
      <c r="EL15">
        <v>2.7013600082749405</v>
      </c>
      <c r="EM15">
        <v>3.8408279019565073</v>
      </c>
      <c r="EN15">
        <v>1.18866811398766</v>
      </c>
      <c r="EO15">
        <v>3.4588476418373121E-2</v>
      </c>
      <c r="EP15">
        <v>4.9178334211991137E-2</v>
      </c>
      <c r="EQ15">
        <v>1.5219822202146736E-2</v>
      </c>
      <c r="ER15">
        <v>0.44578488732558524</v>
      </c>
      <c r="ES15">
        <v>0.56177387701520154</v>
      </c>
      <c r="ET15">
        <v>0.2034772685680829</v>
      </c>
      <c r="EU15">
        <v>847.90889021635871</v>
      </c>
      <c r="EV15">
        <v>1056.1971404694366</v>
      </c>
      <c r="EW15">
        <v>383.01134268079136</v>
      </c>
      <c r="EX15">
        <v>319499</v>
      </c>
      <c r="EY15">
        <v>31593</v>
      </c>
      <c r="EZ15">
        <v>287906</v>
      </c>
      <c r="FA15">
        <v>130.66917197683497</v>
      </c>
      <c r="FB15">
        <v>135.54319304574662</v>
      </c>
      <c r="FC15">
        <v>94.551355888817952</v>
      </c>
      <c r="FD15">
        <v>96.988079069423932</v>
      </c>
      <c r="FE15">
        <v>95.404397974506011</v>
      </c>
      <c r="FF15">
        <v>128.12638685189384</v>
      </c>
      <c r="FG15">
        <v>97.332944830913803</v>
      </c>
      <c r="FH15">
        <v>131.91656838850525</v>
      </c>
      <c r="FI15">
        <v>102.58874595219159</v>
      </c>
      <c r="FJ15">
        <v>88.402098118956047</v>
      </c>
      <c r="FK15">
        <v>92.048932029677331</v>
      </c>
      <c r="FL15">
        <v>133.16409713884732</v>
      </c>
      <c r="FM15">
        <v>98.839335623192653</v>
      </c>
      <c r="FN15">
        <v>92.172738201090681</v>
      </c>
      <c r="FO15">
        <v>95.802801185303593</v>
      </c>
      <c r="FP15">
        <v>133.43346001263706</v>
      </c>
      <c r="FQ15">
        <v>103.26725680426499</v>
      </c>
      <c r="FR15">
        <v>137.46328001667817</v>
      </c>
      <c r="FS15">
        <v>93.234647808018906</v>
      </c>
      <c r="FT15">
        <v>90.78520748885154</v>
      </c>
      <c r="FU15">
        <v>93.67872931601238</v>
      </c>
      <c r="FV15">
        <v>134.77700488463793</v>
      </c>
      <c r="FW15">
        <v>84.17273272667201</v>
      </c>
      <c r="FX15">
        <v>100.68102193416368</v>
      </c>
      <c r="FY15">
        <v>96.504003073966729</v>
      </c>
      <c r="FZ15">
        <v>116.31335961683075</v>
      </c>
      <c r="GA15">
        <v>89.244416038632849</v>
      </c>
      <c r="GB15">
        <v>120.55209828323021</v>
      </c>
      <c r="GC15">
        <v>119.64094049603693</v>
      </c>
      <c r="GD15">
        <v>95.329955673236896</v>
      </c>
      <c r="GE15">
        <v>92.56098068740539</v>
      </c>
      <c r="GF15">
        <v>78.099999999999994</v>
      </c>
      <c r="GG15">
        <v>124.76038338658147</v>
      </c>
      <c r="GH15">
        <v>130.66917197683497</v>
      </c>
      <c r="GI15">
        <v>319499</v>
      </c>
      <c r="GJ15">
        <v>132.50292378258669</v>
      </c>
      <c r="GK15">
        <v>114.7368764631634</v>
      </c>
      <c r="GL15">
        <v>47.03449796908599</v>
      </c>
      <c r="GM15">
        <v>98.913409719831222</v>
      </c>
      <c r="GN15">
        <v>124.58825834564196</v>
      </c>
      <c r="GO15">
        <v>128.45528455284554</v>
      </c>
    </row>
    <row r="16" spans="1:197" x14ac:dyDescent="0.35">
      <c r="A16">
        <v>2006</v>
      </c>
      <c r="B16">
        <v>738444000000</v>
      </c>
      <c r="C16">
        <v>80.400000000000006</v>
      </c>
      <c r="D16">
        <v>0.80400000000000005</v>
      </c>
      <c r="E16">
        <v>9184626865.6716404</v>
      </c>
      <c r="F16">
        <v>918462686567.16418</v>
      </c>
      <c r="G16">
        <v>44120000000</v>
      </c>
      <c r="H16">
        <v>10940000000</v>
      </c>
      <c r="I16">
        <v>263058000000</v>
      </c>
      <c r="J16">
        <v>90286000000</v>
      </c>
      <c r="K16">
        <v>77.099999999999994</v>
      </c>
      <c r="L16">
        <v>0.77099999999999991</v>
      </c>
      <c r="M16">
        <v>572243839.16990924</v>
      </c>
      <c r="N16">
        <v>3411906614.7859926</v>
      </c>
      <c r="O16">
        <v>3411906614.7859926</v>
      </c>
      <c r="P16">
        <v>57224383916.990929</v>
      </c>
      <c r="Q16">
        <v>14189364461.738005</v>
      </c>
      <c r="R16">
        <v>341190661478.59924</v>
      </c>
      <c r="S16">
        <v>412604409857.32819</v>
      </c>
      <c r="T16">
        <v>1171024643.3203633</v>
      </c>
      <c r="U16">
        <v>117102464332.03633</v>
      </c>
      <c r="V16">
        <v>1448169560756.5288</v>
      </c>
      <c r="W16">
        <v>1146848000000</v>
      </c>
      <c r="X16">
        <v>73.656850000000006</v>
      </c>
      <c r="Y16">
        <v>0.73656850000000007</v>
      </c>
      <c r="Z16">
        <v>1557014724360.3274</v>
      </c>
      <c r="AA16">
        <v>0.251</v>
      </c>
      <c r="AB16">
        <v>0.307</v>
      </c>
      <c r="AC16">
        <v>0.55800000000000005</v>
      </c>
      <c r="AD16">
        <v>0.32719819952807266</v>
      </c>
      <c r="AE16">
        <v>0.88519819952807266</v>
      </c>
      <c r="AF16">
        <v>0.11480180047192734</v>
      </c>
      <c r="AG16">
        <v>2945000</v>
      </c>
      <c r="AH16">
        <v>23073000</v>
      </c>
      <c r="AI16">
        <v>26018000</v>
      </c>
      <c r="AJ16">
        <v>0.17633100000000002</v>
      </c>
      <c r="AK16">
        <v>4068485.1630000002</v>
      </c>
      <c r="AL16">
        <v>0.81686895068366872</v>
      </c>
      <c r="AM16">
        <v>18847617.299124289</v>
      </c>
      <c r="AN16">
        <v>0.47335149999999998</v>
      </c>
      <c r="AO16">
        <v>8921547.9199664313</v>
      </c>
      <c r="AP16">
        <v>9926069.3791578598</v>
      </c>
      <c r="AQ16">
        <v>496.92595689162567</v>
      </c>
      <c r="AR16">
        <v>0.65068490000000001</v>
      </c>
      <c r="AS16">
        <v>2647301.8614381389</v>
      </c>
      <c r="AT16">
        <v>1421183.3015618613</v>
      </c>
      <c r="AU16">
        <v>11568849.78140457</v>
      </c>
      <c r="AV16">
        <v>11347252.680719722</v>
      </c>
      <c r="AW16">
        <v>68406676555.158714</v>
      </c>
      <c r="AX16">
        <v>48695787776.877617</v>
      </c>
      <c r="AY16">
        <v>230534134328.35822</v>
      </c>
      <c r="AZ16">
        <v>281968044776.11938</v>
      </c>
      <c r="BA16">
        <v>300519337378.49268</v>
      </c>
      <c r="BB16">
        <v>813021516482.97021</v>
      </c>
      <c r="BC16">
        <v>918462686567.16418</v>
      </c>
      <c r="BD16">
        <v>0.88519819952807266</v>
      </c>
      <c r="BE16">
        <v>0.88519819952807266</v>
      </c>
      <c r="BF16">
        <v>47219640.49207592</v>
      </c>
      <c r="BG16">
        <v>918462686567.16418</v>
      </c>
      <c r="BH16">
        <v>813021516482.97021</v>
      </c>
      <c r="BI16">
        <v>298940810883.51691</v>
      </c>
      <c r="BJ16">
        <v>35301.048757289733</v>
      </c>
      <c r="BK16">
        <v>31248.424801405574</v>
      </c>
      <c r="BL16">
        <v>25840.149758364536</v>
      </c>
      <c r="BM16">
        <v>678.86632225557173</v>
      </c>
      <c r="BN16">
        <v>600.93124618087643</v>
      </c>
      <c r="BO16">
        <v>496.92595689162567</v>
      </c>
      <c r="BP16">
        <v>529706874189.3645</v>
      </c>
      <c r="BQ16">
        <v>529706874189.36462</v>
      </c>
      <c r="BR16">
        <v>635148044273.55859</v>
      </c>
      <c r="BS16">
        <v>1149228749873.012</v>
      </c>
      <c r="BT16">
        <v>743268242410.3252</v>
      </c>
      <c r="BU16">
        <v>1043787579788.8179</v>
      </c>
      <c r="BV16">
        <v>37.200000000000003</v>
      </c>
      <c r="BW16">
        <v>15.7</v>
      </c>
      <c r="BX16">
        <v>9.4</v>
      </c>
      <c r="BY16">
        <v>18801861.017784446</v>
      </c>
      <c r="BZ16">
        <v>6379091.2187896222</v>
      </c>
      <c r="CA16">
        <v>1050777.7570438569</v>
      </c>
      <c r="CB16">
        <v>26231729.993617926</v>
      </c>
      <c r="CC16">
        <v>26018000</v>
      </c>
      <c r="CD16">
        <v>-213729.99361792579</v>
      </c>
      <c r="CE16">
        <v>0.71676023740557193</v>
      </c>
      <c r="CF16">
        <v>0.24318225371874555</v>
      </c>
      <c r="CG16">
        <v>4.0057508875682497E-2</v>
      </c>
      <c r="CH16">
        <v>30.857982798302995</v>
      </c>
      <c r="CI16">
        <v>932238583.27889574</v>
      </c>
      <c r="CJ16">
        <v>809458272.91279066</v>
      </c>
      <c r="CK16">
        <v>31.57</v>
      </c>
      <c r="CL16">
        <v>30.14596559660599</v>
      </c>
      <c r="CM16">
        <v>34.57</v>
      </c>
      <c r="CN16">
        <v>40.619999999999997</v>
      </c>
      <c r="CO16">
        <v>32.19</v>
      </c>
      <c r="CP16">
        <v>42.32</v>
      </c>
      <c r="CQ16">
        <v>36.205595928928375</v>
      </c>
      <c r="CR16">
        <v>35.838693657696979</v>
      </c>
      <c r="CS16">
        <v>35.954422528110335</v>
      </c>
      <c r="CT16">
        <v>33.069545522014138</v>
      </c>
      <c r="CU16">
        <v>1882.6909883042754</v>
      </c>
      <c r="CV16">
        <v>1863.6120702002429</v>
      </c>
      <c r="CW16">
        <v>1869.6299714617373</v>
      </c>
      <c r="CX16">
        <v>392681229.04021883</v>
      </c>
      <c r="CY16">
        <v>308417911.59323955</v>
      </c>
      <c r="CZ16">
        <v>539792831.0143981</v>
      </c>
      <c r="DA16">
        <v>107533401.61161719</v>
      </c>
      <c r="DB16">
        <v>941997194.87885845</v>
      </c>
      <c r="DC16">
        <v>1333498841.4711804</v>
      </c>
      <c r="DD16">
        <v>415951313.20485675</v>
      </c>
      <c r="DE16">
        <v>48983854133.700638</v>
      </c>
      <c r="DF16">
        <v>69341939756.501389</v>
      </c>
      <c r="DG16">
        <v>21629468286.65255</v>
      </c>
      <c r="DH16">
        <v>1882.6909883042754</v>
      </c>
      <c r="DI16">
        <v>1863.6120702002429</v>
      </c>
      <c r="DJ16">
        <v>1869.6299714617371</v>
      </c>
      <c r="DK16">
        <v>29.564222464075069</v>
      </c>
      <c r="DL16">
        <v>20.884468560323924</v>
      </c>
      <c r="DM16">
        <v>66.953544190921605</v>
      </c>
      <c r="DN16">
        <v>0.57673205666001637</v>
      </c>
      <c r="DO16">
        <v>3.844335427058208</v>
      </c>
      <c r="DP16">
        <v>0.57673205666001626</v>
      </c>
      <c r="DQ16">
        <v>0.57673205666001626</v>
      </c>
      <c r="DR16">
        <v>3.4916195507194647</v>
      </c>
      <c r="DS16">
        <v>0.7812192314677352</v>
      </c>
      <c r="DT16">
        <v>2.4863391526021568</v>
      </c>
      <c r="DU16">
        <v>3.4916195507194652</v>
      </c>
      <c r="DV16">
        <v>22.962427747947554</v>
      </c>
      <c r="DW16">
        <v>13.24316818098082</v>
      </c>
      <c r="DX16">
        <v>20.120315918757335</v>
      </c>
      <c r="DY16">
        <v>15.718377738939644</v>
      </c>
      <c r="DZ16">
        <v>8.0047791497281153</v>
      </c>
      <c r="EA16">
        <v>27.94964337838222</v>
      </c>
      <c r="EB16">
        <v>11.685595928928375</v>
      </c>
      <c r="EC16">
        <v>15.288693657696978</v>
      </c>
      <c r="ED16">
        <v>26.524422528110335</v>
      </c>
      <c r="EE16">
        <v>47.657405909169562</v>
      </c>
      <c r="EF16">
        <v>74.397536047187245</v>
      </c>
      <c r="EG16">
        <v>281.27701514433016</v>
      </c>
      <c r="EH16">
        <v>13.24541381150288</v>
      </c>
      <c r="EI16">
        <v>11.724816457946616</v>
      </c>
      <c r="EJ16">
        <v>13.820996749512885</v>
      </c>
      <c r="EK16">
        <v>79.900000000000006</v>
      </c>
      <c r="EL16">
        <v>2.7025909474565211</v>
      </c>
      <c r="EM16">
        <v>3.8258095852050129</v>
      </c>
      <c r="EN16">
        <v>1.1933647570942756</v>
      </c>
      <c r="EO16">
        <v>3.3824667677803767E-2</v>
      </c>
      <c r="EP16">
        <v>4.7882472906195406E-2</v>
      </c>
      <c r="EQ16">
        <v>1.49357291250848E-2</v>
      </c>
      <c r="ER16">
        <v>0.44802172042907706</v>
      </c>
      <c r="ES16">
        <v>0.56141320637774283</v>
      </c>
      <c r="ET16">
        <v>0.20642666368940193</v>
      </c>
      <c r="EU16">
        <v>843.4864556164008</v>
      </c>
      <c r="EV16">
        <v>1046.2564277753816</v>
      </c>
      <c r="EW16">
        <v>385.94147734255813</v>
      </c>
      <c r="EX16">
        <v>328697</v>
      </c>
      <c r="EY16">
        <v>33800</v>
      </c>
      <c r="EZ16">
        <v>294897</v>
      </c>
      <c r="FA16">
        <v>133.8421109961331</v>
      </c>
      <c r="FB16">
        <v>138.60394966748743</v>
      </c>
      <c r="FC16">
        <v>93.647747748562622</v>
      </c>
      <c r="FD16">
        <v>95.895497327884286</v>
      </c>
      <c r="FE16">
        <v>94.432957561106861</v>
      </c>
      <c r="FF16">
        <v>129.76753317663812</v>
      </c>
      <c r="FG16">
        <v>97.82133633822643</v>
      </c>
      <c r="FH16">
        <v>135.57230103892405</v>
      </c>
      <c r="FI16">
        <v>102.4118008807629</v>
      </c>
      <c r="FJ16">
        <v>85.671524405633249</v>
      </c>
      <c r="FK16">
        <v>92.090876323185384</v>
      </c>
      <c r="FL16">
        <v>136.76796699622739</v>
      </c>
      <c r="FM16">
        <v>97.909079896629365</v>
      </c>
      <c r="FN16">
        <v>91.439079342289958</v>
      </c>
      <c r="FO16">
        <v>94.962092362737081</v>
      </c>
      <c r="FP16">
        <v>134.97052031061273</v>
      </c>
      <c r="FQ16">
        <v>103.20095705473213</v>
      </c>
      <c r="FR16">
        <v>141.09285749634915</v>
      </c>
      <c r="FS16">
        <v>93.371328520788737</v>
      </c>
      <c r="FT16">
        <v>88.939462813827674</v>
      </c>
      <c r="FU16">
        <v>93.312428907439354</v>
      </c>
      <c r="FV16">
        <v>137.34060346855713</v>
      </c>
      <c r="FW16">
        <v>84.886311237837916</v>
      </c>
      <c r="FX16">
        <v>99.571226855654501</v>
      </c>
      <c r="FY16">
        <v>95.85289930181375</v>
      </c>
      <c r="FZ16">
        <v>119.43251285597366</v>
      </c>
      <c r="GA16">
        <v>90.538010390088559</v>
      </c>
      <c r="GB16">
        <v>124.62575968902512</v>
      </c>
      <c r="GC16">
        <v>117.32750274598666</v>
      </c>
      <c r="GD16">
        <v>94.460194188427124</v>
      </c>
      <c r="GE16">
        <v>92.92670589427469</v>
      </c>
      <c r="GF16">
        <v>79.900000000000006</v>
      </c>
      <c r="GG16">
        <v>127.63578274760383</v>
      </c>
      <c r="GH16">
        <v>133.8421109961331</v>
      </c>
      <c r="GI16">
        <v>328697</v>
      </c>
      <c r="GJ16">
        <v>136.31752693612469</v>
      </c>
      <c r="GK16">
        <v>111.25949743478157</v>
      </c>
      <c r="GL16">
        <v>53.684217967867397</v>
      </c>
      <c r="GM16">
        <v>98.084536450278435</v>
      </c>
      <c r="GN16">
        <v>123.54082688231176</v>
      </c>
      <c r="GO16">
        <v>122.31075697211156</v>
      </c>
    </row>
    <row r="17" spans="1:197" x14ac:dyDescent="0.35">
      <c r="A17">
        <v>2007</v>
      </c>
      <c r="B17">
        <v>784892000000</v>
      </c>
      <c r="C17">
        <v>83.5</v>
      </c>
      <c r="D17">
        <v>0.83499999999999996</v>
      </c>
      <c r="E17">
        <v>9399904191.616766</v>
      </c>
      <c r="F17">
        <v>939990419161.67664</v>
      </c>
      <c r="G17">
        <v>54556000000</v>
      </c>
      <c r="H17">
        <v>11591000000</v>
      </c>
      <c r="I17">
        <v>263279000000</v>
      </c>
      <c r="J17">
        <v>91630000000</v>
      </c>
      <c r="K17">
        <v>78</v>
      </c>
      <c r="L17">
        <v>0.78</v>
      </c>
      <c r="M17">
        <v>699435897.43589747</v>
      </c>
      <c r="N17">
        <v>3375371794.8717947</v>
      </c>
      <c r="O17">
        <v>3375371794.8717947</v>
      </c>
      <c r="P17">
        <v>69943589743.589737</v>
      </c>
      <c r="Q17">
        <v>14860256410.256411</v>
      </c>
      <c r="R17">
        <v>337537179487.1795</v>
      </c>
      <c r="S17">
        <v>422341025641.02563</v>
      </c>
      <c r="T17">
        <v>1174743589.7435896</v>
      </c>
      <c r="U17">
        <v>117474358974.35896</v>
      </c>
      <c r="V17">
        <v>1479805803777.061</v>
      </c>
      <c r="W17">
        <v>1205948000000</v>
      </c>
      <c r="X17">
        <v>75.716424999999987</v>
      </c>
      <c r="Y17">
        <v>0.75716424999999987</v>
      </c>
      <c r="Z17">
        <v>1592716507679.8069</v>
      </c>
      <c r="AA17">
        <v>0.28000000000000003</v>
      </c>
      <c r="AB17">
        <v>0.32700000000000001</v>
      </c>
      <c r="AC17">
        <v>0.60699999999999998</v>
      </c>
      <c r="AD17">
        <v>0.27538975512530173</v>
      </c>
      <c r="AE17">
        <v>0.88238975512530171</v>
      </c>
      <c r="AF17">
        <v>0.11761024487469829</v>
      </c>
      <c r="AG17">
        <v>2954000</v>
      </c>
      <c r="AH17">
        <v>23320000</v>
      </c>
      <c r="AI17">
        <v>26274000</v>
      </c>
      <c r="AJ17">
        <v>0.1663964</v>
      </c>
      <c r="AK17">
        <v>3880364.048</v>
      </c>
      <c r="AL17">
        <v>0.83058514519188675</v>
      </c>
      <c r="AM17">
        <v>19369245.5858748</v>
      </c>
      <c r="AN17">
        <v>0.4892996</v>
      </c>
      <c r="AO17">
        <v>9477364.1174703054</v>
      </c>
      <c r="AP17">
        <v>9891881.4684044942</v>
      </c>
      <c r="AQ17">
        <v>534.06061112275154</v>
      </c>
      <c r="AR17">
        <v>0.65691999999999995</v>
      </c>
      <c r="AS17">
        <v>2549088.7504121596</v>
      </c>
      <c r="AT17">
        <v>1331275.2975878401</v>
      </c>
      <c r="AU17">
        <v>12026452.867882464</v>
      </c>
      <c r="AV17">
        <v>11223156.765992334</v>
      </c>
      <c r="AW17">
        <v>70791130584.264954</v>
      </c>
      <c r="AX17">
        <v>46683228390.094009</v>
      </c>
      <c r="AY17">
        <v>263197317365.26947</v>
      </c>
      <c r="AZ17">
        <v>307376867065.86829</v>
      </c>
      <c r="BA17">
        <v>258863731353.06384</v>
      </c>
      <c r="BB17">
        <v>829437915784.20154</v>
      </c>
      <c r="BC17">
        <v>939990419161.67664</v>
      </c>
      <c r="BD17">
        <v>0.88238975512530171</v>
      </c>
      <c r="BE17">
        <v>0.88238975512530171</v>
      </c>
      <c r="BF17">
        <v>40083572.708955623</v>
      </c>
      <c r="BG17">
        <v>939990419161.67664</v>
      </c>
      <c r="BH17">
        <v>829437915784.20154</v>
      </c>
      <c r="BI17">
        <v>333988447949.53442</v>
      </c>
      <c r="BJ17">
        <v>35776.448929043036</v>
      </c>
      <c r="BK17">
        <v>31568.772009751145</v>
      </c>
      <c r="BL17">
        <v>27771.151778383082</v>
      </c>
      <c r="BM17">
        <v>688.00863325082764</v>
      </c>
      <c r="BN17">
        <v>607.09176941829128</v>
      </c>
      <c r="BO17">
        <v>534.06061112275154</v>
      </c>
      <c r="BP17">
        <v>539815384615.38458</v>
      </c>
      <c r="BQ17">
        <v>539815384615.3844</v>
      </c>
      <c r="BR17">
        <v>650367887992.8595</v>
      </c>
      <c r="BS17">
        <v>1145817355827.5266</v>
      </c>
      <c r="BT17">
        <v>776401121096.98792</v>
      </c>
      <c r="BU17">
        <v>1035264852450.0518</v>
      </c>
      <c r="BV17">
        <v>37.200000000000003</v>
      </c>
      <c r="BW17">
        <v>15.6</v>
      </c>
      <c r="BX17">
        <v>9.5</v>
      </c>
      <c r="BY17">
        <v>18935379.292203773</v>
      </c>
      <c r="BZ17">
        <v>6379894.8400009386</v>
      </c>
      <c r="CA17">
        <v>1101578.1957248568</v>
      </c>
      <c r="CB17">
        <v>26416852.327929568</v>
      </c>
      <c r="CC17">
        <v>26274000</v>
      </c>
      <c r="CD17">
        <v>-142852.32792956755</v>
      </c>
      <c r="CE17">
        <v>0.71679165470384565</v>
      </c>
      <c r="CF17">
        <v>0.24150851739651474</v>
      </c>
      <c r="CG17">
        <v>4.1699827899639601E-2</v>
      </c>
      <c r="CH17">
        <v>30.828330791415265</v>
      </c>
      <c r="CI17">
        <v>940853047.98507082</v>
      </c>
      <c r="CJ17">
        <v>814387462.0333811</v>
      </c>
      <c r="CK17">
        <v>31.25</v>
      </c>
      <c r="CL17">
        <v>30.40666158283053</v>
      </c>
      <c r="CM17">
        <v>34.04</v>
      </c>
      <c r="CN17">
        <v>40.67</v>
      </c>
      <c r="CO17">
        <v>32.89</v>
      </c>
      <c r="CP17">
        <v>41.97</v>
      </c>
      <c r="CQ17">
        <v>36.174754081703732</v>
      </c>
      <c r="CR17">
        <v>35.786055699323455</v>
      </c>
      <c r="CS17">
        <v>35.445273741218124</v>
      </c>
      <c r="CT17">
        <v>33.400921888052537</v>
      </c>
      <c r="CU17">
        <v>1881.0872122485941</v>
      </c>
      <c r="CV17">
        <v>1860.8748963648197</v>
      </c>
      <c r="CW17">
        <v>1843.1542345433425</v>
      </c>
      <c r="CX17">
        <v>404447114.70408612</v>
      </c>
      <c r="CY17">
        <v>322609474.55868918</v>
      </c>
      <c r="CZ17">
        <v>542999419.15220916</v>
      </c>
      <c r="DA17">
        <v>103671439.47926253</v>
      </c>
      <c r="DB17">
        <v>950455488.74268389</v>
      </c>
      <c r="DC17">
        <v>1339356347.0312128</v>
      </c>
      <c r="DD17">
        <v>426280914.03795171</v>
      </c>
      <c r="DE17">
        <v>49423685414.61956</v>
      </c>
      <c r="DF17">
        <v>69646530045.623062</v>
      </c>
      <c r="DG17">
        <v>22166607529.973488</v>
      </c>
      <c r="DH17">
        <v>1881.0872122485941</v>
      </c>
      <c r="DI17">
        <v>1860.8748963648195</v>
      </c>
      <c r="DJ17">
        <v>1843.1542345433425</v>
      </c>
      <c r="DK17">
        <v>29.941227396598261</v>
      </c>
      <c r="DL17">
        <v>21.247373025012028</v>
      </c>
      <c r="DM17">
        <v>66.758334660641282</v>
      </c>
      <c r="DN17">
        <v>0.5742775390166367</v>
      </c>
      <c r="DO17">
        <v>3.4307095435847512</v>
      </c>
      <c r="DP17">
        <v>0.57427753901663681</v>
      </c>
      <c r="DQ17">
        <v>0.57427753901663681</v>
      </c>
      <c r="DR17">
        <v>3.0997025759599928</v>
      </c>
      <c r="DS17">
        <v>0.78410677353465541</v>
      </c>
      <c r="DT17">
        <v>2.3246346568678384</v>
      </c>
      <c r="DU17">
        <v>3.0997025759599928</v>
      </c>
      <c r="DV17">
        <v>22.978638254789608</v>
      </c>
      <c r="DW17">
        <v>13.196115826914124</v>
      </c>
      <c r="DX17">
        <v>20.058247763066593</v>
      </c>
      <c r="DY17">
        <v>15.727807936256863</v>
      </c>
      <c r="DZ17">
        <v>8.645815906027817</v>
      </c>
      <c r="EA17">
        <v>26.799457835190307</v>
      </c>
      <c r="EB17">
        <v>11.654754081703732</v>
      </c>
      <c r="EC17">
        <v>15.236055699323455</v>
      </c>
      <c r="ED17">
        <v>26.015273741218124</v>
      </c>
      <c r="EE17">
        <v>47.531623497976071</v>
      </c>
      <c r="EF17">
        <v>74.141390264347706</v>
      </c>
      <c r="EG17">
        <v>275.8777703204467</v>
      </c>
      <c r="EH17">
        <v>13.496586528372928</v>
      </c>
      <c r="EI17">
        <v>11.909249681798434</v>
      </c>
      <c r="EJ17">
        <v>15.067188224355858</v>
      </c>
      <c r="EK17">
        <v>81.8</v>
      </c>
      <c r="EL17">
        <v>2.7320189288330115</v>
      </c>
      <c r="EM17">
        <v>3.8498876968793505</v>
      </c>
      <c r="EN17">
        <v>1.2253151672494735</v>
      </c>
      <c r="EO17">
        <v>3.3398764411161512E-2</v>
      </c>
      <c r="EP17">
        <v>4.7064641771141211E-2</v>
      </c>
      <c r="EQ17">
        <v>1.4979403022609701E-2</v>
      </c>
      <c r="ER17">
        <v>0.45076931381598362</v>
      </c>
      <c r="ES17">
        <v>0.56050457003692067</v>
      </c>
      <c r="ET17">
        <v>0.22569748483014543</v>
      </c>
      <c r="EU17">
        <v>847.93639189332032</v>
      </c>
      <c r="EV17">
        <v>1043.0288836794625</v>
      </c>
      <c r="EW17">
        <v>415.99527489046432</v>
      </c>
      <c r="EX17">
        <v>343028</v>
      </c>
      <c r="EY17">
        <v>35798</v>
      </c>
      <c r="EZ17">
        <v>307230</v>
      </c>
      <c r="FA17">
        <v>139.43957300800608</v>
      </c>
      <c r="FB17">
        <v>140.37143645850102</v>
      </c>
      <c r="FC17">
        <v>93.713859114150125</v>
      </c>
      <c r="FD17">
        <v>95.554785133339053</v>
      </c>
      <c r="FE17">
        <v>94.352514558434336</v>
      </c>
      <c r="FF17">
        <v>131.51511603131001</v>
      </c>
      <c r="FG17">
        <v>98.421247558075024</v>
      </c>
      <c r="FH17">
        <v>138.14315791579253</v>
      </c>
      <c r="FI17">
        <v>101.97594584331648</v>
      </c>
      <c r="FJ17">
        <v>85.445411156185713</v>
      </c>
      <c r="FK17">
        <v>93.093635766279732</v>
      </c>
      <c r="FL17">
        <v>139.14455157178799</v>
      </c>
      <c r="FM17">
        <v>97.607045075749838</v>
      </c>
      <c r="FN17">
        <v>91.493937965426767</v>
      </c>
      <c r="FO17">
        <v>94.822617115324476</v>
      </c>
      <c r="FP17">
        <v>136.3541877967418</v>
      </c>
      <c r="FQ17">
        <v>103.0339283156104</v>
      </c>
      <c r="FR17">
        <v>143.31227053909066</v>
      </c>
      <c r="FS17">
        <v>93.716447570714649</v>
      </c>
      <c r="FT17">
        <v>88.633250141497683</v>
      </c>
      <c r="FU17">
        <v>93.899699923886601</v>
      </c>
      <c r="FV17">
        <v>136.94017366285391</v>
      </c>
      <c r="FW17">
        <v>91.684155949393613</v>
      </c>
      <c r="FX17">
        <v>95.473665248273264</v>
      </c>
      <c r="FY17">
        <v>94.495531168270134</v>
      </c>
      <c r="FZ17">
        <v>128.35755492180465</v>
      </c>
      <c r="GA17">
        <v>98.990124925502371</v>
      </c>
      <c r="GB17">
        <v>135.8628334026678</v>
      </c>
      <c r="GC17">
        <v>104.15807255339429</v>
      </c>
      <c r="GD17">
        <v>92.646986257899314</v>
      </c>
      <c r="GE17">
        <v>95.414668061787381</v>
      </c>
      <c r="GF17">
        <v>81.8</v>
      </c>
      <c r="GG17">
        <v>130.67092651757187</v>
      </c>
      <c r="GH17">
        <v>139.43957300800608</v>
      </c>
      <c r="GI17">
        <v>343028</v>
      </c>
      <c r="GJ17">
        <v>142.26089264533894</v>
      </c>
      <c r="GK17">
        <v>104.37376200593664</v>
      </c>
      <c r="GL17">
        <v>52.22553735614688</v>
      </c>
      <c r="GM17">
        <v>93.320589946887907</v>
      </c>
      <c r="GN17">
        <v>117.88311085352095</v>
      </c>
      <c r="GO17">
        <v>116.78571428571428</v>
      </c>
    </row>
    <row r="18" spans="1:197" x14ac:dyDescent="0.35">
      <c r="A18">
        <v>2008</v>
      </c>
      <c r="B18">
        <v>796088000000</v>
      </c>
      <c r="C18">
        <v>84.9</v>
      </c>
      <c r="D18">
        <v>0.84900000000000009</v>
      </c>
      <c r="E18">
        <v>9376772673.7338047</v>
      </c>
      <c r="F18">
        <v>937677267373.38037</v>
      </c>
      <c r="G18">
        <v>49807000000</v>
      </c>
      <c r="H18">
        <v>11676000000</v>
      </c>
      <c r="I18">
        <v>289476000000</v>
      </c>
      <c r="J18">
        <v>94860000000</v>
      </c>
      <c r="K18">
        <v>83.1</v>
      </c>
      <c r="L18">
        <v>0.83099999999999996</v>
      </c>
      <c r="M18">
        <v>599362214.19975936</v>
      </c>
      <c r="N18">
        <v>3483465703.9711194</v>
      </c>
      <c r="O18">
        <v>3483465703.9711194</v>
      </c>
      <c r="P18">
        <v>59936221419.975937</v>
      </c>
      <c r="Q18">
        <v>14050541516.245487</v>
      </c>
      <c r="R18">
        <v>348346570397.11194</v>
      </c>
      <c r="S18">
        <v>422333333333.33337</v>
      </c>
      <c r="T18">
        <v>1141516245.4873648</v>
      </c>
      <c r="U18">
        <v>114151624548.73647</v>
      </c>
      <c r="V18">
        <v>1474162225255.4504</v>
      </c>
      <c r="W18">
        <v>1241907000000</v>
      </c>
      <c r="X18">
        <v>78.176349999999999</v>
      </c>
      <c r="Y18">
        <v>0.78176349999999994</v>
      </c>
      <c r="Z18">
        <v>1588596807090.6355</v>
      </c>
      <c r="AA18">
        <v>0.26300000000000001</v>
      </c>
      <c r="AB18">
        <v>0.33500000000000002</v>
      </c>
      <c r="AC18">
        <v>0.59800000000000009</v>
      </c>
      <c r="AD18">
        <v>0.27882564064978599</v>
      </c>
      <c r="AE18">
        <v>0.87682564064978608</v>
      </c>
      <c r="AF18">
        <v>0.12317435935021392</v>
      </c>
      <c r="AG18">
        <v>2933000</v>
      </c>
      <c r="AH18">
        <v>23675000</v>
      </c>
      <c r="AI18">
        <v>26608000</v>
      </c>
      <c r="AJ18">
        <v>0.16549539999999996</v>
      </c>
      <c r="AK18">
        <v>3918103.5949999988</v>
      </c>
      <c r="AL18">
        <v>0.83147071971390252</v>
      </c>
      <c r="AM18">
        <v>19685069.289226644</v>
      </c>
      <c r="AN18">
        <v>0.47724080000000002</v>
      </c>
      <c r="AO18">
        <v>9394518.2156459559</v>
      </c>
      <c r="AP18">
        <v>10290551.073580688</v>
      </c>
      <c r="AQ18">
        <v>504.81387053931019</v>
      </c>
      <c r="AR18">
        <v>0.64408489999999996</v>
      </c>
      <c r="AS18">
        <v>2523591.3621752146</v>
      </c>
      <c r="AT18">
        <v>1394512.2328247842</v>
      </c>
      <c r="AU18">
        <v>11918109.577821171</v>
      </c>
      <c r="AV18">
        <v>11685063.306405472</v>
      </c>
      <c r="AW18">
        <v>66245084006.360489</v>
      </c>
      <c r="AX18">
        <v>47906540542.375977</v>
      </c>
      <c r="AY18">
        <v>246609121319.19904</v>
      </c>
      <c r="AZ18">
        <v>314121884570.08246</v>
      </c>
      <c r="BA18">
        <v>261448464798.12344</v>
      </c>
      <c r="BB18">
        <v>822179470687.40491</v>
      </c>
      <c r="BC18">
        <v>937677267373.38037</v>
      </c>
      <c r="BD18">
        <v>0.87682564064978596</v>
      </c>
      <c r="BE18">
        <v>0.87682564064978608</v>
      </c>
      <c r="BF18">
        <v>41092572.376105957</v>
      </c>
      <c r="BG18">
        <v>937677267373.38037</v>
      </c>
      <c r="BH18">
        <v>822179470687.40503</v>
      </c>
      <c r="BI18">
        <v>312854205325.55951</v>
      </c>
      <c r="BJ18">
        <v>35240.426464724158</v>
      </c>
      <c r="BK18">
        <v>30899.709511703437</v>
      </c>
      <c r="BL18">
        <v>26250.321268044128</v>
      </c>
      <c r="BM18">
        <v>677.70050893700306</v>
      </c>
      <c r="BN18">
        <v>594.22518291737379</v>
      </c>
      <c r="BO18">
        <v>504.81387053931019</v>
      </c>
      <c r="BP18">
        <v>536484957882.06982</v>
      </c>
      <c r="BQ18">
        <v>536484957882.07007</v>
      </c>
      <c r="BR18">
        <v>651982754568.04553</v>
      </c>
      <c r="BS18">
        <v>1161308019929.8909</v>
      </c>
      <c r="BT18">
        <v>784361758445.79175</v>
      </c>
      <c r="BU18">
        <v>1045810223243.9152</v>
      </c>
      <c r="BV18">
        <v>37.1</v>
      </c>
      <c r="BW18">
        <v>15.6</v>
      </c>
      <c r="BX18">
        <v>9.6999999999999993</v>
      </c>
      <c r="BY18">
        <v>19112677.782885492</v>
      </c>
      <c r="BZ18">
        <v>6468583.6323679751</v>
      </c>
      <c r="CA18">
        <v>1124913.3532360352</v>
      </c>
      <c r="CB18">
        <v>26706174.768489502</v>
      </c>
      <c r="CC18">
        <v>26608000</v>
      </c>
      <c r="CD18">
        <v>-98174.76848950237</v>
      </c>
      <c r="CE18">
        <v>0.71566512046631459</v>
      </c>
      <c r="CF18">
        <v>0.24221303456757978</v>
      </c>
      <c r="CG18">
        <v>4.2121844966105576E-2</v>
      </c>
      <c r="CH18">
        <v>30.738281204725741</v>
      </c>
      <c r="CI18">
        <v>946416921.66456258</v>
      </c>
      <c r="CJ18">
        <v>820901909.9363817</v>
      </c>
      <c r="CK18">
        <v>31.55</v>
      </c>
      <c r="CL18">
        <v>29.926562409451481</v>
      </c>
      <c r="CM18">
        <v>33.950000000000003</v>
      </c>
      <c r="CN18">
        <v>39.08</v>
      </c>
      <c r="CO18">
        <v>32.450000000000003</v>
      </c>
      <c r="CP18">
        <v>40.85</v>
      </c>
      <c r="CQ18">
        <v>35.483958293227197</v>
      </c>
      <c r="CR18">
        <v>35.182076386098736</v>
      </c>
      <c r="CS18">
        <v>35.03624808350903</v>
      </c>
      <c r="CT18">
        <v>33.070752733486387</v>
      </c>
      <c r="CU18">
        <v>1845.1658312478141</v>
      </c>
      <c r="CV18">
        <v>1829.4679720771342</v>
      </c>
      <c r="CW18">
        <v>1821.8849003424696</v>
      </c>
      <c r="CX18">
        <v>395863213.24901456</v>
      </c>
      <c r="CY18">
        <v>318943893.42118025</v>
      </c>
      <c r="CZ18">
        <v>534257586.77625674</v>
      </c>
      <c r="DA18">
        <v>98621950.433807388</v>
      </c>
      <c r="DB18">
        <v>944157162.26618922</v>
      </c>
      <c r="DC18">
        <v>1344702451.2299404</v>
      </c>
      <c r="DD18">
        <v>417565843.85498762</v>
      </c>
      <c r="DE18">
        <v>49096172437.841843</v>
      </c>
      <c r="DF18">
        <v>69924527463.956909</v>
      </c>
      <c r="DG18">
        <v>21713423880.459358</v>
      </c>
      <c r="DH18">
        <v>1845.1658312478144</v>
      </c>
      <c r="DI18">
        <v>1829.4679720771344</v>
      </c>
      <c r="DJ18">
        <v>1821.8849003424698</v>
      </c>
      <c r="DK18">
        <v>30.026011235841491</v>
      </c>
      <c r="DL18">
        <v>21.082190737939815</v>
      </c>
      <c r="DM18">
        <v>67.89174445132528</v>
      </c>
      <c r="DN18">
        <v>0.57214243807453136</v>
      </c>
      <c r="DO18">
        <v>3.7119782958372607</v>
      </c>
      <c r="DP18">
        <v>0.57214243807453113</v>
      </c>
      <c r="DQ18">
        <v>0.57214243807453113</v>
      </c>
      <c r="DR18">
        <v>3.3428037898855592</v>
      </c>
      <c r="DS18">
        <v>0.79299323056915794</v>
      </c>
      <c r="DT18">
        <v>2.5071159188337466</v>
      </c>
      <c r="DU18">
        <v>3.3428037898855592</v>
      </c>
      <c r="DV18">
        <v>22.570447456838508</v>
      </c>
      <c r="DW18">
        <v>12.913510836388689</v>
      </c>
      <c r="DX18">
        <v>19.621979484513016</v>
      </c>
      <c r="DY18">
        <v>15.56009690158572</v>
      </c>
      <c r="DZ18">
        <v>8.0676562374539831</v>
      </c>
      <c r="EA18">
        <v>26.968591846055048</v>
      </c>
      <c r="EB18">
        <v>10.963958293227197</v>
      </c>
      <c r="EC18">
        <v>14.632076386098735</v>
      </c>
      <c r="ED18">
        <v>25.60624808350903</v>
      </c>
      <c r="EE18">
        <v>44.71434866732136</v>
      </c>
      <c r="EF18">
        <v>71.202318180529119</v>
      </c>
      <c r="EG18">
        <v>271.5402766013683</v>
      </c>
      <c r="EH18">
        <v>13.409847751301754</v>
      </c>
      <c r="EI18">
        <v>11.758098345551256</v>
      </c>
      <c r="EJ18">
        <v>14.408331318355902</v>
      </c>
      <c r="EK18">
        <v>84.7</v>
      </c>
      <c r="EL18">
        <v>2.8208875076585329</v>
      </c>
      <c r="EM18">
        <v>4.0176090356479257</v>
      </c>
      <c r="EN18">
        <v>1.2475743654035187</v>
      </c>
      <c r="EO18">
        <v>3.3304456997149144E-2</v>
      </c>
      <c r="EP18">
        <v>4.7433400657000295E-2</v>
      </c>
      <c r="EQ18">
        <v>1.4729331350690895E-2</v>
      </c>
      <c r="ER18">
        <v>0.44660769777154646</v>
      </c>
      <c r="ES18">
        <v>0.55772658978894507</v>
      </c>
      <c r="ET18">
        <v>0.21222508619860106</v>
      </c>
      <c r="EU18">
        <v>824.0652639003082</v>
      </c>
      <c r="EV18">
        <v>1020.3429331946771</v>
      </c>
      <c r="EW18">
        <v>386.64968001911035</v>
      </c>
      <c r="EX18">
        <v>331947</v>
      </c>
      <c r="EY18">
        <v>39470</v>
      </c>
      <c r="EZ18">
        <v>292477</v>
      </c>
      <c r="FA18">
        <v>132.74376849481689</v>
      </c>
      <c r="FB18">
        <v>140.76892281219639</v>
      </c>
      <c r="FC18">
        <v>92.04913318449637</v>
      </c>
      <c r="FD18">
        <v>93.508405766753711</v>
      </c>
      <c r="FE18">
        <v>92.550751938516413</v>
      </c>
      <c r="FF18">
        <v>129.54468412147733</v>
      </c>
      <c r="FG18">
        <v>97.512597766713199</v>
      </c>
      <c r="FH18">
        <v>137.25535057627181</v>
      </c>
      <c r="FI18">
        <v>101.59681045450255</v>
      </c>
      <c r="FJ18">
        <v>80.380925903425194</v>
      </c>
      <c r="FK18">
        <v>96.121835542254161</v>
      </c>
      <c r="FL18">
        <v>138.06280771407867</v>
      </c>
      <c r="FM18">
        <v>95.484085082788397</v>
      </c>
      <c r="FN18">
        <v>90.518306582813963</v>
      </c>
      <c r="FO18">
        <v>93.222247975884301</v>
      </c>
      <c r="FP18">
        <v>133.46432329778773</v>
      </c>
      <c r="FQ18">
        <v>102.52327018179137</v>
      </c>
      <c r="FR18">
        <v>141.49336155898021</v>
      </c>
      <c r="FS18">
        <v>94.778556983453413</v>
      </c>
      <c r="FT18">
        <v>85.119699744611594</v>
      </c>
      <c r="FU18">
        <v>97.990464284095751</v>
      </c>
      <c r="FV18">
        <v>139.26511682323135</v>
      </c>
      <c r="FW18">
        <v>85.55308841414616</v>
      </c>
      <c r="FX18">
        <v>96.076208927876905</v>
      </c>
      <c r="FY18">
        <v>93.405086866193102</v>
      </c>
      <c r="FZ18">
        <v>121.3283151079364</v>
      </c>
      <c r="GA18">
        <v>93.081178157281158</v>
      </c>
      <c r="GB18">
        <v>129.9218333485654</v>
      </c>
      <c r="GC18">
        <v>112.32690593575046</v>
      </c>
      <c r="GD18">
        <v>91.190342177738714</v>
      </c>
      <c r="GE18">
        <v>97.14798048617962</v>
      </c>
      <c r="GF18">
        <v>84.7</v>
      </c>
      <c r="GG18">
        <v>135.30351437699682</v>
      </c>
      <c r="GH18">
        <v>132.74376849481689</v>
      </c>
      <c r="GI18">
        <v>331947</v>
      </c>
      <c r="GJ18">
        <v>137.66536997254548</v>
      </c>
      <c r="GK18">
        <v>109.53782660661031</v>
      </c>
      <c r="GL18">
        <v>55.259034950206107</v>
      </c>
      <c r="GM18">
        <v>98.044603719289654</v>
      </c>
      <c r="GN18">
        <v>122.65421131559941</v>
      </c>
      <c r="GO18">
        <v>127.37642585551332</v>
      </c>
    </row>
    <row r="19" spans="1:197" x14ac:dyDescent="0.35">
      <c r="A19">
        <v>2009</v>
      </c>
      <c r="B19">
        <v>788190000000</v>
      </c>
      <c r="C19">
        <v>87.8</v>
      </c>
      <c r="D19">
        <v>0.878</v>
      </c>
      <c r="E19">
        <v>8977107061.503418</v>
      </c>
      <c r="F19">
        <v>897710706150.34167</v>
      </c>
      <c r="G19">
        <v>63667000000</v>
      </c>
      <c r="H19">
        <v>13592000000</v>
      </c>
      <c r="I19">
        <v>265344000000</v>
      </c>
      <c r="J19">
        <v>96505000000</v>
      </c>
      <c r="K19">
        <v>83.7</v>
      </c>
      <c r="L19">
        <v>0.83700000000000008</v>
      </c>
      <c r="M19">
        <v>760657108.72162485</v>
      </c>
      <c r="N19">
        <v>3170179211.4695339</v>
      </c>
      <c r="O19">
        <v>3170179211.4695339</v>
      </c>
      <c r="P19">
        <v>76065710872.162476</v>
      </c>
      <c r="Q19">
        <v>16238948626.045399</v>
      </c>
      <c r="R19">
        <v>317017921146.95337</v>
      </c>
      <c r="S19">
        <v>409322580645.16125</v>
      </c>
      <c r="T19">
        <v>1152986857.8255675</v>
      </c>
      <c r="U19">
        <v>115298685782.55673</v>
      </c>
      <c r="V19">
        <v>1422331972578.0596</v>
      </c>
      <c r="W19">
        <v>1227298000000</v>
      </c>
      <c r="X19">
        <v>79.506225000000001</v>
      </c>
      <c r="Y19">
        <v>0.79506224999999997</v>
      </c>
      <c r="Z19">
        <v>1543650198459.303</v>
      </c>
      <c r="AA19">
        <v>0.23899999999999999</v>
      </c>
      <c r="AB19">
        <v>0.32200000000000001</v>
      </c>
      <c r="AC19">
        <v>0.56099999999999994</v>
      </c>
      <c r="AD19">
        <v>0.32193030569988629</v>
      </c>
      <c r="AE19">
        <v>0.88293030569988629</v>
      </c>
      <c r="AF19">
        <v>0.11706969430011371</v>
      </c>
      <c r="AG19">
        <v>2921000</v>
      </c>
      <c r="AH19">
        <v>22579000</v>
      </c>
      <c r="AI19">
        <v>25500000</v>
      </c>
      <c r="AJ19">
        <v>0.17566689999999996</v>
      </c>
      <c r="AK19">
        <v>3966382.935099999</v>
      </c>
      <c r="AL19">
        <v>0.84184791772045187</v>
      </c>
      <c r="AM19">
        <v>19008084.134210084</v>
      </c>
      <c r="AN19">
        <v>0.45876080000000002</v>
      </c>
      <c r="AO19">
        <v>8720163.8838775251</v>
      </c>
      <c r="AP19">
        <v>10287920.250332557</v>
      </c>
      <c r="AQ19">
        <v>473.1581389697111</v>
      </c>
      <c r="AR19">
        <v>0.65092589999999995</v>
      </c>
      <c r="AS19">
        <v>2581821.381774608</v>
      </c>
      <c r="AT19">
        <v>1384561.5533253907</v>
      </c>
      <c r="AU19">
        <v>11301985.265652133</v>
      </c>
      <c r="AV19">
        <v>11672481.803657947</v>
      </c>
      <c r="AW19">
        <v>63523709607.939445</v>
      </c>
      <c r="AX19">
        <v>51774976174.617287</v>
      </c>
      <c r="AY19">
        <v>214552858769.93164</v>
      </c>
      <c r="AZ19">
        <v>289062847380.41003</v>
      </c>
      <c r="BA19">
        <v>289000282061.04028</v>
      </c>
      <c r="BB19">
        <v>792615988211.38196</v>
      </c>
      <c r="BC19">
        <v>897710706150.34167</v>
      </c>
      <c r="BD19">
        <v>0.88293030569988629</v>
      </c>
      <c r="BE19">
        <v>0.88293030569988629</v>
      </c>
      <c r="BF19">
        <v>52279121.832134694</v>
      </c>
      <c r="BG19">
        <v>897710706150.34167</v>
      </c>
      <c r="BH19">
        <v>792615988211.38196</v>
      </c>
      <c r="BI19">
        <v>278076568377.87109</v>
      </c>
      <c r="BJ19">
        <v>35204.341417660457</v>
      </c>
      <c r="BK19">
        <v>31082.979929858117</v>
      </c>
      <c r="BL19">
        <v>24604.22322642498</v>
      </c>
      <c r="BM19">
        <v>677.00656572423952</v>
      </c>
      <c r="BN19">
        <v>597.74961403573298</v>
      </c>
      <c r="BO19">
        <v>473.15813896971116</v>
      </c>
      <c r="BP19">
        <v>524621266427.71802</v>
      </c>
      <c r="BQ19">
        <v>524621266427.7179</v>
      </c>
      <c r="BR19">
        <v>629715984366.67761</v>
      </c>
      <c r="BS19">
        <v>1144255404200.1885</v>
      </c>
      <c r="BT19">
        <v>750160404200.1886</v>
      </c>
      <c r="BU19">
        <v>1039160686261.2289</v>
      </c>
      <c r="BV19">
        <v>36.799999999999997</v>
      </c>
      <c r="BW19">
        <v>15.5</v>
      </c>
      <c r="BX19">
        <v>9.5</v>
      </c>
      <c r="BY19">
        <v>18594433.152493875</v>
      </c>
      <c r="BZ19">
        <v>6537990.0892228773</v>
      </c>
      <c r="CA19">
        <v>1141659.4113692695</v>
      </c>
      <c r="CB19">
        <v>26274082.653086022</v>
      </c>
      <c r="CC19">
        <v>25500000</v>
      </c>
      <c r="CD19">
        <v>-774082.65308602154</v>
      </c>
      <c r="CE19">
        <v>0.70771008061474094</v>
      </c>
      <c r="CF19">
        <v>0.24883799657435263</v>
      </c>
      <c r="CG19">
        <v>4.3451922810906429E-2</v>
      </c>
      <c r="CH19">
        <v>30.313513180228544</v>
      </c>
      <c r="CI19">
        <v>920595682.49309146</v>
      </c>
      <c r="CJ19">
        <v>796459750.80273724</v>
      </c>
      <c r="CK19">
        <v>31.51</v>
      </c>
      <c r="CL19">
        <v>29.117026360457086</v>
      </c>
      <c r="CM19">
        <v>33.950000000000003</v>
      </c>
      <c r="CN19">
        <v>39.35</v>
      </c>
      <c r="CO19">
        <v>32.54</v>
      </c>
      <c r="CP19">
        <v>40.520000000000003</v>
      </c>
      <c r="CQ19">
        <v>35.613119133618405</v>
      </c>
      <c r="CR19">
        <v>35.294091575584133</v>
      </c>
      <c r="CS19">
        <v>35.183574025614199</v>
      </c>
      <c r="CT19">
        <v>33.090942626558203</v>
      </c>
      <c r="CU19">
        <v>1851.8821949481571</v>
      </c>
      <c r="CV19">
        <v>1835.292761930375</v>
      </c>
      <c r="CW19">
        <v>1829.5458493319384</v>
      </c>
      <c r="CX19">
        <v>364444129.47490597</v>
      </c>
      <c r="CY19">
        <v>296049563.85764199</v>
      </c>
      <c r="CZ19">
        <v>517101990.79382908</v>
      </c>
      <c r="DA19">
        <v>101594671.37283082</v>
      </c>
      <c r="DB19">
        <v>908134537.90726936</v>
      </c>
      <c r="DC19">
        <v>1325926627.8293962</v>
      </c>
      <c r="DD19">
        <v>397644235.2304728</v>
      </c>
      <c r="DE19">
        <v>47222995971.178009</v>
      </c>
      <c r="DF19">
        <v>68948184647.128601</v>
      </c>
      <c r="DG19">
        <v>20677500231.984585</v>
      </c>
      <c r="DH19">
        <v>1851.8821949481571</v>
      </c>
      <c r="DI19">
        <v>1835.2927619303748</v>
      </c>
      <c r="DJ19">
        <v>1829.5458493319384</v>
      </c>
      <c r="DK19">
        <v>30.119477668171729</v>
      </c>
      <c r="DL19">
        <v>20.628998136172012</v>
      </c>
      <c r="DM19">
        <v>68.786456613258949</v>
      </c>
      <c r="DN19">
        <v>0.5843990305935578</v>
      </c>
      <c r="DO19">
        <v>4.1148932859574465</v>
      </c>
      <c r="DP19">
        <v>0.58439903059355791</v>
      </c>
      <c r="DQ19">
        <v>0.58439903059355791</v>
      </c>
      <c r="DR19">
        <v>3.7369588251288408</v>
      </c>
      <c r="DS19">
        <v>0.7944780243301619</v>
      </c>
      <c r="DT19">
        <v>2.6976757106007399</v>
      </c>
      <c r="DU19">
        <v>3.7369588251288408</v>
      </c>
      <c r="DV19">
        <v>22.477367409317832</v>
      </c>
      <c r="DW19">
        <v>13.135751724300572</v>
      </c>
      <c r="DX19">
        <v>19.668165949682567</v>
      </c>
      <c r="DY19">
        <v>15.625925625901566</v>
      </c>
      <c r="DZ19">
        <v>7.4274603863919451</v>
      </c>
      <c r="EA19">
        <v>27.756113639222253</v>
      </c>
      <c r="EB19">
        <v>11.093119133618405</v>
      </c>
      <c r="EC19">
        <v>14.744091575584132</v>
      </c>
      <c r="ED19">
        <v>25.753574025614199</v>
      </c>
      <c r="EE19">
        <v>45.241105765164782</v>
      </c>
      <c r="EF19">
        <v>71.747404260750031</v>
      </c>
      <c r="EG19">
        <v>273.10258775836905</v>
      </c>
      <c r="EH19">
        <v>13.0200774791208</v>
      </c>
      <c r="EI19">
        <v>11.495820988876334</v>
      </c>
      <c r="EJ19">
        <v>13.448268178361996</v>
      </c>
      <c r="EK19">
        <v>86.6</v>
      </c>
      <c r="EL19">
        <v>2.8752158637702121</v>
      </c>
      <c r="EM19">
        <v>4.1979741055941453</v>
      </c>
      <c r="EN19">
        <v>1.2589687601862514</v>
      </c>
      <c r="EO19">
        <v>3.3201106971942403E-2</v>
      </c>
      <c r="EP19">
        <v>4.847545156575226E-2</v>
      </c>
      <c r="EQ19">
        <v>1.4537745498686507E-2</v>
      </c>
      <c r="ER19">
        <v>0.43228098516726793</v>
      </c>
      <c r="ES19">
        <v>0.55726511355483299</v>
      </c>
      <c r="ET19">
        <v>0.19550750017511109</v>
      </c>
      <c r="EU19">
        <v>800.53345964591188</v>
      </c>
      <c r="EV19">
        <v>1022.7446293834934</v>
      </c>
      <c r="EW19">
        <v>357.68993545863771</v>
      </c>
      <c r="EX19">
        <v>291210</v>
      </c>
      <c r="EY19">
        <v>43585</v>
      </c>
      <c r="EZ19">
        <v>247625</v>
      </c>
      <c r="FA19">
        <v>112.3872156563731</v>
      </c>
      <c r="FB19">
        <v>141.20711518130207</v>
      </c>
      <c r="FC19">
        <v>91.669524507821492</v>
      </c>
      <c r="FD19">
        <v>95.117680842147507</v>
      </c>
      <c r="FE19">
        <v>92.887634672974443</v>
      </c>
      <c r="FF19">
        <v>129.41203459102809</v>
      </c>
      <c r="FG19">
        <v>94.384494578006098</v>
      </c>
      <c r="FH19">
        <v>133.26589026735724</v>
      </c>
      <c r="FI19">
        <v>103.77324524435014</v>
      </c>
      <c r="FJ19">
        <v>81.327852885765424</v>
      </c>
      <c r="FK19">
        <v>97.973076081719157</v>
      </c>
      <c r="FL19">
        <v>135.09494522705967</v>
      </c>
      <c r="FM19">
        <v>95.708836738114684</v>
      </c>
      <c r="FN19">
        <v>90.901254368246455</v>
      </c>
      <c r="FO19">
        <v>93.51905557918424</v>
      </c>
      <c r="FP19">
        <v>134.25591851748558</v>
      </c>
      <c r="FQ19">
        <v>102.43843999169724</v>
      </c>
      <c r="FR19">
        <v>138.33719601535901</v>
      </c>
      <c r="FS19">
        <v>94.956019545126196</v>
      </c>
      <c r="FT19">
        <v>85.771329700896644</v>
      </c>
      <c r="FU19">
        <v>102.38961233156454</v>
      </c>
      <c r="FV19">
        <v>141.10042382206964</v>
      </c>
      <c r="FW19">
        <v>78.764161043392846</v>
      </c>
      <c r="FX19">
        <v>98.881772850809597</v>
      </c>
      <c r="FY19">
        <v>93.797851307955753</v>
      </c>
      <c r="FZ19">
        <v>113.72009196076857</v>
      </c>
      <c r="GA19">
        <v>85.748903585575036</v>
      </c>
      <c r="GB19">
        <v>121.26481675709644</v>
      </c>
      <c r="GC19">
        <v>125.57154078444739</v>
      </c>
      <c r="GD19">
        <v>91.715007213725784</v>
      </c>
      <c r="GE19">
        <v>98.035256205127808</v>
      </c>
      <c r="GF19">
        <v>86.6</v>
      </c>
      <c r="GG19">
        <v>138.33865814696483</v>
      </c>
      <c r="GH19">
        <v>112.3872156563731</v>
      </c>
      <c r="GI19">
        <v>291210</v>
      </c>
      <c r="GJ19">
        <v>120.77088327264585</v>
      </c>
      <c r="GK19">
        <v>117.97851952477194</v>
      </c>
      <c r="GL19">
        <v>53.627317640917362</v>
      </c>
      <c r="GM19">
        <v>103.27815449496107</v>
      </c>
      <c r="GN19">
        <v>129.12317137776671</v>
      </c>
      <c r="GO19">
        <v>134.72803347280336</v>
      </c>
    </row>
    <row r="20" spans="1:197" x14ac:dyDescent="0.35">
      <c r="A20">
        <v>2010</v>
      </c>
      <c r="B20">
        <v>809201000000</v>
      </c>
      <c r="C20">
        <v>88.3</v>
      </c>
      <c r="D20">
        <v>0.88300000000000001</v>
      </c>
      <c r="E20">
        <v>9164224235.5605888</v>
      </c>
      <c r="F20">
        <v>916422423556.05884</v>
      </c>
      <c r="G20">
        <v>54193000000</v>
      </c>
      <c r="H20">
        <v>14482000000</v>
      </c>
      <c r="I20">
        <v>283037000000</v>
      </c>
      <c r="J20">
        <v>100505000000</v>
      </c>
      <c r="K20">
        <v>83</v>
      </c>
      <c r="L20">
        <v>0.83</v>
      </c>
      <c r="M20">
        <v>652927710.84337354</v>
      </c>
      <c r="N20">
        <v>3410084337.3493977</v>
      </c>
      <c r="O20">
        <v>3410084337.3493977</v>
      </c>
      <c r="P20">
        <v>65292771084.337349</v>
      </c>
      <c r="Q20">
        <v>17448192771.084339</v>
      </c>
      <c r="R20">
        <v>341008433734.93976</v>
      </c>
      <c r="S20">
        <v>423749397590.36145</v>
      </c>
      <c r="T20">
        <v>1210903614.4578314</v>
      </c>
      <c r="U20">
        <v>121090361445.78314</v>
      </c>
      <c r="V20">
        <v>1461262182592.2036</v>
      </c>
      <c r="W20">
        <v>1261418000000</v>
      </c>
      <c r="X20">
        <v>80.598199999999991</v>
      </c>
      <c r="Y20">
        <v>0.80598199999999987</v>
      </c>
      <c r="Z20">
        <v>1565069691382.6863</v>
      </c>
      <c r="AA20">
        <v>0.24054944421189003</v>
      </c>
      <c r="AB20">
        <v>0.3224669924363941</v>
      </c>
      <c r="AC20">
        <v>0.56301643664828416</v>
      </c>
      <c r="AD20">
        <v>0.28395803165642391</v>
      </c>
      <c r="AE20">
        <v>0.84697446830470802</v>
      </c>
      <c r="AF20">
        <v>0.15302553169529198</v>
      </c>
      <c r="AG20">
        <v>2920000</v>
      </c>
      <c r="AH20">
        <v>22891000</v>
      </c>
      <c r="AI20">
        <v>25811000</v>
      </c>
      <c r="AJ20">
        <v>0.19319920000000002</v>
      </c>
      <c r="AK20">
        <v>4422522.8872000007</v>
      </c>
      <c r="AL20">
        <v>0.80680079999999998</v>
      </c>
      <c r="AM20">
        <v>18468477.112799998</v>
      </c>
      <c r="AN20">
        <v>0.47827760000000002</v>
      </c>
      <c r="AO20">
        <v>8833058.909164913</v>
      </c>
      <c r="AP20">
        <v>9635418.2036350872</v>
      </c>
      <c r="AQ20">
        <v>479.93850522372946</v>
      </c>
      <c r="AR20">
        <v>0.67231490000000005</v>
      </c>
      <c r="AS20">
        <v>2973328.03265558</v>
      </c>
      <c r="AT20">
        <v>1449194.8545444207</v>
      </c>
      <c r="AU20">
        <v>11806386.941820493</v>
      </c>
      <c r="AV20">
        <v>11084613.058179509</v>
      </c>
      <c r="AW20">
        <v>74204759799.69162</v>
      </c>
      <c r="AX20">
        <v>46885601646.091522</v>
      </c>
      <c r="AY20">
        <v>220444904649.72324</v>
      </c>
      <c r="AZ20">
        <v>295515982725.39355</v>
      </c>
      <c r="BA20">
        <v>260225507558.78809</v>
      </c>
      <c r="BB20">
        <v>776186394933.90491</v>
      </c>
      <c r="BC20">
        <v>916422423556.05884</v>
      </c>
      <c r="BD20">
        <v>0.84697446830470802</v>
      </c>
      <c r="BE20">
        <v>0.84697446830470802</v>
      </c>
      <c r="BF20">
        <v>14176214.425293745</v>
      </c>
      <c r="BG20">
        <v>916422423556.05884</v>
      </c>
      <c r="BH20">
        <v>776186394933.90491</v>
      </c>
      <c r="BI20">
        <v>294649664449.41486</v>
      </c>
      <c r="BJ20">
        <v>35505.111136959393</v>
      </c>
      <c r="BK20">
        <v>30071.922627325748</v>
      </c>
      <c r="BL20">
        <v>24956.802271633929</v>
      </c>
      <c r="BM20">
        <v>682.79059878768066</v>
      </c>
      <c r="BN20">
        <v>578.30620437164896</v>
      </c>
      <c r="BO20">
        <v>479.93850522372941</v>
      </c>
      <c r="BP20">
        <v>544839759036.14459</v>
      </c>
      <c r="BQ20">
        <v>544839759036.14478</v>
      </c>
      <c r="BR20">
        <v>685075787658.29871</v>
      </c>
      <c r="BS20">
        <v>1166612518142.7888</v>
      </c>
      <c r="BT20">
        <v>766150981961.84656</v>
      </c>
      <c r="BU20">
        <v>1026376489520.6346</v>
      </c>
      <c r="BV20">
        <v>37.1</v>
      </c>
      <c r="BW20">
        <v>15.6</v>
      </c>
      <c r="BX20">
        <v>9.6</v>
      </c>
      <c r="BY20">
        <v>18295897.328721907</v>
      </c>
      <c r="BZ20">
        <v>6711567.704407773</v>
      </c>
      <c r="CA20">
        <v>1111243.122702596</v>
      </c>
      <c r="CB20">
        <v>26118708.155832276</v>
      </c>
      <c r="CC20">
        <v>25811000</v>
      </c>
      <c r="CD20">
        <v>-307708.15583227575</v>
      </c>
      <c r="CE20">
        <v>0.70049013219041834</v>
      </c>
      <c r="CF20">
        <v>0.25696399930519104</v>
      </c>
      <c r="CG20">
        <v>4.2545868504390662E-2</v>
      </c>
      <c r="CH20">
        <v>30.405262631067654</v>
      </c>
      <c r="CI20">
        <v>921119624.00585449</v>
      </c>
      <c r="CJ20">
        <v>794146181.062289</v>
      </c>
      <c r="CK20">
        <v>31.93</v>
      </c>
      <c r="CL20">
        <v>28.880525262135308</v>
      </c>
      <c r="CM20">
        <v>33.29</v>
      </c>
      <c r="CN20">
        <v>37.9</v>
      </c>
      <c r="CO20">
        <v>33.04</v>
      </c>
      <c r="CP20">
        <v>40.24</v>
      </c>
      <c r="CQ20">
        <v>35.019567492594085</v>
      </c>
      <c r="CR20">
        <v>34.775052323157844</v>
      </c>
      <c r="CS20">
        <v>34.450985346159477</v>
      </c>
      <c r="CT20">
        <v>33.553616686361686</v>
      </c>
      <c r="CU20">
        <v>1821.0175096148923</v>
      </c>
      <c r="CV20">
        <v>1808.3027208042079</v>
      </c>
      <c r="CW20">
        <v>1791.4512380002927</v>
      </c>
      <c r="CX20">
        <v>377178087.87671489</v>
      </c>
      <c r="CY20">
        <v>294052531.08609992</v>
      </c>
      <c r="CZ20">
        <v>530199299.38810593</v>
      </c>
      <c r="DA20">
        <v>112689132.43764648</v>
      </c>
      <c r="DB20">
        <v>903890056.55134594</v>
      </c>
      <c r="DC20">
        <v>1283046874.5931783</v>
      </c>
      <c r="DD20">
        <v>406741663.52374637</v>
      </c>
      <c r="DE20">
        <v>47002282940.669991</v>
      </c>
      <c r="DF20">
        <v>66718437478.845268</v>
      </c>
      <c r="DG20">
        <v>21150566503.23481</v>
      </c>
      <c r="DH20">
        <v>1821.0175096148926</v>
      </c>
      <c r="DI20">
        <v>1808.3027208042076</v>
      </c>
      <c r="DJ20">
        <v>1791.4512380002925</v>
      </c>
      <c r="DK20">
        <v>31.089174635128355</v>
      </c>
      <c r="DL20">
        <v>21.901924532563175</v>
      </c>
      <c r="DM20">
        <v>69.088559985791179</v>
      </c>
      <c r="DN20">
        <v>0.59452905672251499</v>
      </c>
      <c r="DO20">
        <v>3.9593207082815858</v>
      </c>
      <c r="DP20">
        <v>0.59452905672251477</v>
      </c>
      <c r="DQ20">
        <v>0.59452905672251477</v>
      </c>
      <c r="DR20">
        <v>3.4833791222485573</v>
      </c>
      <c r="DS20">
        <v>0.88261761882161749</v>
      </c>
      <c r="DT20">
        <v>2.6002099252123143</v>
      </c>
      <c r="DU20">
        <v>3.4833791222485573</v>
      </c>
      <c r="DV20">
        <v>21.962326333880227</v>
      </c>
      <c r="DW20">
        <v>13.057241158713857</v>
      </c>
      <c r="DX20">
        <v>18.471649248095591</v>
      </c>
      <c r="DY20">
        <v>16.303403075062253</v>
      </c>
      <c r="DZ20">
        <v>7.6841561703310095</v>
      </c>
      <c r="EA20">
        <v>26.76682917582847</v>
      </c>
      <c r="EB20">
        <v>10.499567492594085</v>
      </c>
      <c r="EC20">
        <v>14.225052323157843</v>
      </c>
      <c r="ED20">
        <v>25.020985346159478</v>
      </c>
      <c r="EE20">
        <v>42.820422074201005</v>
      </c>
      <c r="EF20">
        <v>69.221665806120896</v>
      </c>
      <c r="EG20">
        <v>265.33388490094887</v>
      </c>
      <c r="EH20">
        <v>13.735669751657976</v>
      </c>
      <c r="EI20">
        <v>11.633761584719576</v>
      </c>
      <c r="EJ20">
        <v>13.931053071526502</v>
      </c>
      <c r="EK20">
        <v>89.4</v>
      </c>
      <c r="EL20">
        <v>2.8755990163529446</v>
      </c>
      <c r="EM20">
        <v>4.0818330766815745</v>
      </c>
      <c r="EN20">
        <v>1.2939913643935566</v>
      </c>
      <c r="EO20">
        <v>3.2165537095670514E-2</v>
      </c>
      <c r="EP20">
        <v>4.5658088106057877E-2</v>
      </c>
      <c r="EQ20">
        <v>1.4474176335498395E-2</v>
      </c>
      <c r="ER20">
        <v>0.4418151949308341</v>
      </c>
      <c r="ES20">
        <v>0.53117531143999797</v>
      </c>
      <c r="ET20">
        <v>0.20164051869646113</v>
      </c>
      <c r="EU20">
        <v>804.55320598296578</v>
      </c>
      <c r="EV20">
        <v>960.52576090097068</v>
      </c>
      <c r="EW20">
        <v>361.22915684979642</v>
      </c>
      <c r="EX20">
        <v>305032</v>
      </c>
      <c r="EY20">
        <v>43892</v>
      </c>
      <c r="EZ20">
        <v>261140</v>
      </c>
      <c r="FA20">
        <v>118.52114082384763</v>
      </c>
      <c r="FB20">
        <v>145.75328005217233</v>
      </c>
      <c r="FC20">
        <v>89.569030725449537</v>
      </c>
      <c r="FD20">
        <v>94.549175660491358</v>
      </c>
      <c r="FE20">
        <v>91.339508327058113</v>
      </c>
      <c r="FF20">
        <v>130.51767155938001</v>
      </c>
      <c r="FG20">
        <v>96.466199766557665</v>
      </c>
      <c r="FH20">
        <v>140.59027381430886</v>
      </c>
      <c r="FI20">
        <v>105.57206014783178</v>
      </c>
      <c r="FJ20">
        <v>76.976301265352532</v>
      </c>
      <c r="FK20">
        <v>97.986132018705305</v>
      </c>
      <c r="FL20">
        <v>143.43107094016489</v>
      </c>
      <c r="FM20">
        <v>89.886371036961506</v>
      </c>
      <c r="FN20">
        <v>94.842368092276047</v>
      </c>
      <c r="FO20">
        <v>92.14375284355549</v>
      </c>
      <c r="FP20">
        <v>129.88888462525242</v>
      </c>
      <c r="FQ20">
        <v>97.642520485293744</v>
      </c>
      <c r="FR20">
        <v>139.99713098338839</v>
      </c>
      <c r="FS20">
        <v>105.49046455294946</v>
      </c>
      <c r="FT20">
        <v>82.751904148678548</v>
      </c>
      <c r="FU20">
        <v>99.556904309306702</v>
      </c>
      <c r="FV20">
        <v>141.72012304777678</v>
      </c>
      <c r="FW20">
        <v>81.486279642958749</v>
      </c>
      <c r="FX20">
        <v>95.357424922794692</v>
      </c>
      <c r="FY20">
        <v>91.844802309142835</v>
      </c>
      <c r="FZ20">
        <v>115.34970331145489</v>
      </c>
      <c r="GA20">
        <v>88.438823989675925</v>
      </c>
      <c r="GB20">
        <v>125.61815213279081</v>
      </c>
      <c r="GC20">
        <v>117.05060290624058</v>
      </c>
      <c r="GD20">
        <v>89.106073170083604</v>
      </c>
      <c r="GE20">
        <v>100.76244855891268</v>
      </c>
      <c r="GF20">
        <v>89.4</v>
      </c>
      <c r="GG20">
        <v>142.81150159744408</v>
      </c>
      <c r="GH20">
        <v>118.52114082384763</v>
      </c>
      <c r="GI20">
        <v>305032</v>
      </c>
      <c r="GJ20">
        <v>126.50315602630991</v>
      </c>
      <c r="GK20">
        <v>109.08359496660518</v>
      </c>
      <c r="GL20">
        <v>48.73982415085549</v>
      </c>
      <c r="GM20">
        <v>93.886581159860839</v>
      </c>
      <c r="GN20">
        <v>118.61895707121437</v>
      </c>
      <c r="GO20">
        <v>134.0543494053332</v>
      </c>
    </row>
    <row r="21" spans="1:197" x14ac:dyDescent="0.35">
      <c r="A21">
        <v>2011</v>
      </c>
      <c r="B21">
        <v>825154000000</v>
      </c>
      <c r="C21">
        <v>88.7</v>
      </c>
      <c r="D21">
        <v>0.88700000000000001</v>
      </c>
      <c r="E21">
        <v>9302750845.5467873</v>
      </c>
      <c r="F21">
        <v>930275084554.67871</v>
      </c>
      <c r="G21">
        <v>58211000000</v>
      </c>
      <c r="H21">
        <v>14796000000</v>
      </c>
      <c r="I21">
        <v>294563000000</v>
      </c>
      <c r="J21">
        <v>103471000000</v>
      </c>
      <c r="K21">
        <v>85</v>
      </c>
      <c r="L21">
        <v>0.85</v>
      </c>
      <c r="M21">
        <v>684835294.11764705</v>
      </c>
      <c r="N21">
        <v>3465447058.8235292</v>
      </c>
      <c r="O21">
        <v>3465447058.8235292</v>
      </c>
      <c r="P21">
        <v>68483529411.764709</v>
      </c>
      <c r="Q21">
        <v>17407058823.529411</v>
      </c>
      <c r="R21">
        <v>346544705882.35297</v>
      </c>
      <c r="S21">
        <v>432435294117.64709</v>
      </c>
      <c r="T21">
        <v>1217305882.3529413</v>
      </c>
      <c r="U21">
        <v>121730588235.29413</v>
      </c>
      <c r="V21">
        <v>1484440966907.6199</v>
      </c>
      <c r="W21">
        <v>1296195000000</v>
      </c>
      <c r="X21">
        <v>82.265725000000003</v>
      </c>
      <c r="Y21">
        <v>0.82265725000000001</v>
      </c>
      <c r="Z21">
        <v>1575619737138.4011</v>
      </c>
      <c r="AA21">
        <v>0.24640685066090254</v>
      </c>
      <c r="AB21">
        <v>0.32191361460256751</v>
      </c>
      <c r="AC21">
        <v>0.56832046526347002</v>
      </c>
      <c r="AD21">
        <v>0.29096689523652669</v>
      </c>
      <c r="AE21">
        <v>0.85928736049999666</v>
      </c>
      <c r="AF21">
        <v>0.14071263950000323</v>
      </c>
      <c r="AG21">
        <v>2773000</v>
      </c>
      <c r="AH21">
        <v>23107000</v>
      </c>
      <c r="AI21">
        <v>25880000</v>
      </c>
      <c r="AJ21">
        <v>0.18635250000000003</v>
      </c>
      <c r="AK21">
        <v>4306047.2175000012</v>
      </c>
      <c r="AL21">
        <v>0.81364749999999997</v>
      </c>
      <c r="AM21">
        <v>18800952.782499999</v>
      </c>
      <c r="AN21">
        <v>0.47138160000000001</v>
      </c>
      <c r="AO21">
        <v>8862423.2041393016</v>
      </c>
      <c r="AP21">
        <v>9938529.5783606991</v>
      </c>
      <c r="AQ21">
        <v>497.40292970532806</v>
      </c>
      <c r="AR21">
        <v>0.68107300000000004</v>
      </c>
      <c r="AS21">
        <v>2932732.4965643785</v>
      </c>
      <c r="AT21">
        <v>1373314.7209356227</v>
      </c>
      <c r="AU21">
        <v>11795155.700703681</v>
      </c>
      <c r="AV21">
        <v>11311844.299296321</v>
      </c>
      <c r="AW21">
        <v>75854986263.323425</v>
      </c>
      <c r="AX21">
        <v>45875601971.970703</v>
      </c>
      <c r="AY21">
        <v>229226153833.42319</v>
      </c>
      <c r="AZ21">
        <v>299468215043.70575</v>
      </c>
      <c r="BA21">
        <v>270679253068.77222</v>
      </c>
      <c r="BB21">
        <v>799373621945.90112</v>
      </c>
      <c r="BC21">
        <v>930275084554.67871</v>
      </c>
      <c r="BD21">
        <v>0.85928736049999666</v>
      </c>
      <c r="BE21">
        <v>0.85928736049999666</v>
      </c>
      <c r="BF21">
        <v>15135062.272645138</v>
      </c>
      <c r="BG21">
        <v>930275084554.67871</v>
      </c>
      <c r="BH21">
        <v>799373621945.90112</v>
      </c>
      <c r="BI21">
        <v>305081140096.74658</v>
      </c>
      <c r="BJ21">
        <v>35945.714240907211</v>
      </c>
      <c r="BK21">
        <v>30887.697911356303</v>
      </c>
      <c r="BL21">
        <v>25864.952344677054</v>
      </c>
      <c r="BM21">
        <v>691.2637354020618</v>
      </c>
      <c r="BN21">
        <v>593.99419060300579</v>
      </c>
      <c r="BO21">
        <v>497.40292970532795</v>
      </c>
      <c r="BP21">
        <v>554165882352.94116</v>
      </c>
      <c r="BQ21">
        <v>554165882352.94116</v>
      </c>
      <c r="BR21">
        <v>685067344961.71875</v>
      </c>
      <c r="BS21">
        <v>1179359826810.8733</v>
      </c>
      <c r="BT21">
        <v>777779111133.32349</v>
      </c>
      <c r="BU21">
        <v>1048458364202.0957</v>
      </c>
      <c r="BV21">
        <v>37</v>
      </c>
      <c r="BW21">
        <v>15.6</v>
      </c>
      <c r="BX21">
        <v>9.4</v>
      </c>
      <c r="BY21">
        <v>18433128.655109871</v>
      </c>
      <c r="BZ21">
        <v>6684388.2588030472</v>
      </c>
      <c r="CA21">
        <v>1146042.1292673287</v>
      </c>
      <c r="CB21">
        <v>26263559.043180246</v>
      </c>
      <c r="CC21">
        <v>25880000</v>
      </c>
      <c r="CD21">
        <v>-383559.04318024591</v>
      </c>
      <c r="CE21">
        <v>0.70185189390378255</v>
      </c>
      <c r="CF21">
        <v>0.25451189794243656</v>
      </c>
      <c r="CG21">
        <v>4.3636208153780928E-2</v>
      </c>
      <c r="CH21">
        <v>30.349086038987512</v>
      </c>
      <c r="CI21">
        <v>927560973.37429488</v>
      </c>
      <c r="CJ21">
        <v>797075013.09150577</v>
      </c>
      <c r="CK21">
        <v>31.46</v>
      </c>
      <c r="CL21">
        <v>29.238172077975022</v>
      </c>
      <c r="CM21">
        <v>32.869999999999997</v>
      </c>
      <c r="CN21">
        <v>37.17</v>
      </c>
      <c r="CO21">
        <v>32.75</v>
      </c>
      <c r="CP21">
        <v>38.39</v>
      </c>
      <c r="CQ21">
        <v>34.468804530408384</v>
      </c>
      <c r="CR21">
        <v>34.244469999007364</v>
      </c>
      <c r="CS21">
        <v>33.939146525507454</v>
      </c>
      <c r="CT21">
        <v>33.045943990398619</v>
      </c>
      <c r="CU21">
        <v>1792.377835581236</v>
      </c>
      <c r="CV21">
        <v>1780.712439948383</v>
      </c>
      <c r="CW21">
        <v>1764.8356193263876</v>
      </c>
      <c r="CX21">
        <v>369672468.35557294</v>
      </c>
      <c r="CY21">
        <v>291307850.7200588</v>
      </c>
      <c r="CZ21">
        <v>534119144.74458724</v>
      </c>
      <c r="DA21">
        <v>109009666.89729795</v>
      </c>
      <c r="DB21">
        <v>892052661.24696898</v>
      </c>
      <c r="DC21">
        <v>1273614996.3150058</v>
      </c>
      <c r="DD21">
        <v>400317517.61735678</v>
      </c>
      <c r="DE21">
        <v>46386738384.842384</v>
      </c>
      <c r="DF21">
        <v>66227979808.380302</v>
      </c>
      <c r="DG21">
        <v>20816510916.102554</v>
      </c>
      <c r="DH21">
        <v>1792.3778355812358</v>
      </c>
      <c r="DI21">
        <v>1780.7124399483828</v>
      </c>
      <c r="DJ21">
        <v>1764.8356193263878</v>
      </c>
      <c r="DK21">
        <v>32.001408561906672</v>
      </c>
      <c r="DL21">
        <v>22.414106110477839</v>
      </c>
      <c r="DM21">
        <v>71.310748131154611</v>
      </c>
      <c r="DN21">
        <v>0.59570109052014386</v>
      </c>
      <c r="DO21">
        <v>3.8657251196743188</v>
      </c>
      <c r="DP21">
        <v>0.59570109052014386</v>
      </c>
      <c r="DQ21">
        <v>0.59570109052014386</v>
      </c>
      <c r="DR21">
        <v>3.43665414345053</v>
      </c>
      <c r="DS21">
        <v>0.85700519275838927</v>
      </c>
      <c r="DT21">
        <v>2.5494172169629237</v>
      </c>
      <c r="DU21">
        <v>3.43665414345053</v>
      </c>
      <c r="DV21">
        <v>21.601040906209281</v>
      </c>
      <c r="DW21">
        <v>12.867763624199103</v>
      </c>
      <c r="DX21">
        <v>18.440696952570576</v>
      </c>
      <c r="DY21">
        <v>15.803773046436788</v>
      </c>
      <c r="DZ21">
        <v>7.649716526948362</v>
      </c>
      <c r="EA21">
        <v>26.289429998559093</v>
      </c>
      <c r="EB21">
        <v>9.9488045304083847</v>
      </c>
      <c r="EC21">
        <v>13.694469999007364</v>
      </c>
      <c r="ED21">
        <v>24.509146525507454</v>
      </c>
      <c r="EE21">
        <v>40.57424359872914</v>
      </c>
      <c r="EF21">
        <v>66.639756686167217</v>
      </c>
      <c r="EG21">
        <v>259.90611373814903</v>
      </c>
      <c r="EH21">
        <v>14.046556866845036</v>
      </c>
      <c r="EI21">
        <v>12.070028774224374</v>
      </c>
      <c r="EJ21">
        <v>14.655728874369235</v>
      </c>
      <c r="EK21">
        <v>93.4</v>
      </c>
      <c r="EL21">
        <v>2.9186215294029281</v>
      </c>
      <c r="EM21">
        <v>4.1670187309561566</v>
      </c>
      <c r="EN21">
        <v>1.3097604841870243</v>
      </c>
      <c r="EO21">
        <v>3.124862451180865E-2</v>
      </c>
      <c r="EP21">
        <v>4.4614761573406388E-2</v>
      </c>
      <c r="EQ21">
        <v>1.4023131522345014E-2</v>
      </c>
      <c r="ER21">
        <v>0.43893558121580789</v>
      </c>
      <c r="ES21">
        <v>0.53850145594617504</v>
      </c>
      <c r="ET21">
        <v>0.20551921356110922</v>
      </c>
      <c r="EU21">
        <v>786.73840701918152</v>
      </c>
      <c r="EV21">
        <v>958.9162415336699</v>
      </c>
      <c r="EW21">
        <v>362.70762854859237</v>
      </c>
      <c r="EX21">
        <v>305354</v>
      </c>
      <c r="EY21">
        <v>45208</v>
      </c>
      <c r="EZ21">
        <v>260146</v>
      </c>
      <c r="FA21">
        <v>118.07000344934009</v>
      </c>
      <c r="FB21">
        <v>150.03004482844199</v>
      </c>
      <c r="FC21">
        <v>88.09559912809658</v>
      </c>
      <c r="FD21">
        <v>93.177144273708194</v>
      </c>
      <c r="FE21">
        <v>89.902985212332766</v>
      </c>
      <c r="FF21">
        <v>132.13733952738824</v>
      </c>
      <c r="FG21">
        <v>95.837463147556306</v>
      </c>
      <c r="FH21">
        <v>143.77233231161756</v>
      </c>
      <c r="FI21">
        <v>105.78018121639774</v>
      </c>
      <c r="FJ21">
        <v>72.938449636425105</v>
      </c>
      <c r="FK21">
        <v>99.452125580227218</v>
      </c>
      <c r="FL21">
        <v>146.78523975427532</v>
      </c>
      <c r="FM21">
        <v>89.735751594017401</v>
      </c>
      <c r="FN21">
        <v>91.935852509812605</v>
      </c>
      <c r="FO21">
        <v>90.737864332292958</v>
      </c>
      <c r="FP21">
        <v>133.41244190027987</v>
      </c>
      <c r="FQ21">
        <v>98.989238225399816</v>
      </c>
      <c r="FR21">
        <v>145.24703699427647</v>
      </c>
      <c r="FS21">
        <v>102.42926719395579</v>
      </c>
      <c r="FT21">
        <v>79.665328673690311</v>
      </c>
      <c r="FU21">
        <v>101.63460319405262</v>
      </c>
      <c r="FV21">
        <v>146.27845770493252</v>
      </c>
      <c r="FW21">
        <v>81.121066033386654</v>
      </c>
      <c r="FX21">
        <v>93.656679724115037</v>
      </c>
      <c r="FY21">
        <v>90.480262664642638</v>
      </c>
      <c r="FZ21">
        <v>119.547149777057</v>
      </c>
      <c r="GA21">
        <v>90.140005947854917</v>
      </c>
      <c r="GB21">
        <v>132.15264990414099</v>
      </c>
      <c r="GC21">
        <v>115.48052203156394</v>
      </c>
      <c r="GD21">
        <v>87.283285347248778</v>
      </c>
      <c r="GE21">
        <v>101.99038188654603</v>
      </c>
      <c r="GF21">
        <v>93.4</v>
      </c>
      <c r="GG21">
        <v>149.20127795527156</v>
      </c>
      <c r="GH21">
        <v>118.07000344934009</v>
      </c>
      <c r="GI21">
        <v>305354</v>
      </c>
      <c r="GJ21">
        <v>126.63669616714913</v>
      </c>
      <c r="GK21">
        <v>112.14234921346105</v>
      </c>
      <c r="GL21">
        <v>46.827138941053299</v>
      </c>
      <c r="GM21">
        <v>95.902458486592707</v>
      </c>
      <c r="GN21">
        <v>119.4121099940719</v>
      </c>
      <c r="GO21">
        <v>130.64312690136001</v>
      </c>
    </row>
    <row r="22" spans="1:197" x14ac:dyDescent="0.35">
      <c r="A22">
        <v>2012</v>
      </c>
      <c r="B22">
        <v>840607000000</v>
      </c>
      <c r="C22">
        <v>89.1</v>
      </c>
      <c r="D22">
        <v>0.8909999999999999</v>
      </c>
      <c r="E22">
        <v>9434421997.755331</v>
      </c>
      <c r="F22">
        <v>943442199775.5332</v>
      </c>
      <c r="G22">
        <v>59540000000</v>
      </c>
      <c r="H22">
        <v>15764000000</v>
      </c>
      <c r="I22">
        <v>307144000000</v>
      </c>
      <c r="J22">
        <v>107631000000</v>
      </c>
      <c r="K22">
        <v>87.8</v>
      </c>
      <c r="L22">
        <v>0.878</v>
      </c>
      <c r="M22">
        <v>678132118.45102513</v>
      </c>
      <c r="N22">
        <v>3498223234.624146</v>
      </c>
      <c r="O22">
        <v>3498223234.624146</v>
      </c>
      <c r="P22">
        <v>67813211845.102509</v>
      </c>
      <c r="Q22">
        <v>17954441913.439636</v>
      </c>
      <c r="R22">
        <v>349822323462.41455</v>
      </c>
      <c r="S22">
        <v>435589977220.95667</v>
      </c>
      <c r="T22">
        <v>1225865603.6446469</v>
      </c>
      <c r="U22">
        <v>122586560364.46469</v>
      </c>
      <c r="V22">
        <v>1501618737360.9543</v>
      </c>
      <c r="W22">
        <v>1330686000000</v>
      </c>
      <c r="X22">
        <v>83.589449999999999</v>
      </c>
      <c r="Y22">
        <v>0.83589449999999998</v>
      </c>
      <c r="Z22">
        <v>1591930560615.0059</v>
      </c>
      <c r="AA22">
        <v>0.25336454808311371</v>
      </c>
      <c r="AB22">
        <v>0.31410717900708068</v>
      </c>
      <c r="AC22">
        <v>0.56747172709019433</v>
      </c>
      <c r="AD22">
        <v>0.288062867351222</v>
      </c>
      <c r="AE22">
        <v>0.85553459444141633</v>
      </c>
      <c r="AF22">
        <v>0.14446540555858367</v>
      </c>
      <c r="AG22">
        <v>2575000</v>
      </c>
      <c r="AH22">
        <v>23853000</v>
      </c>
      <c r="AI22">
        <v>26428000</v>
      </c>
      <c r="AJ22">
        <v>0.20253869999999996</v>
      </c>
      <c r="AK22">
        <v>4831155.6110999994</v>
      </c>
      <c r="AL22">
        <v>0.79746130000000004</v>
      </c>
      <c r="AM22">
        <v>19021844.388900001</v>
      </c>
      <c r="AN22">
        <v>0.49139890000000003</v>
      </c>
      <c r="AO22">
        <v>9347313.4086766336</v>
      </c>
      <c r="AP22">
        <v>9674530.980223367</v>
      </c>
      <c r="AQ22">
        <v>491.78015143487204</v>
      </c>
      <c r="AR22">
        <v>0.68831889999999996</v>
      </c>
      <c r="AS22">
        <v>3325375.7159611792</v>
      </c>
      <c r="AT22">
        <v>1505779.8951388202</v>
      </c>
      <c r="AU22">
        <v>12672689.124637812</v>
      </c>
      <c r="AV22">
        <v>11180310.875362188</v>
      </c>
      <c r="AW22">
        <v>85038396205.008209</v>
      </c>
      <c r="AX22">
        <v>37548164159.456482</v>
      </c>
      <c r="AY22">
        <v>239034806588.66666</v>
      </c>
      <c r="AZ22">
        <v>296341967927.72736</v>
      </c>
      <c r="BA22">
        <v>271770665247.4845</v>
      </c>
      <c r="BB22">
        <v>807147439763.87854</v>
      </c>
      <c r="BC22">
        <v>943442199775.5332</v>
      </c>
      <c r="BD22">
        <v>0.85553459444141644</v>
      </c>
      <c r="BE22">
        <v>0.85553459444141633</v>
      </c>
      <c r="BF22">
        <v>13126105.361569814</v>
      </c>
      <c r="BG22">
        <v>943442199775.5332</v>
      </c>
      <c r="BH22">
        <v>807147439763.87854</v>
      </c>
      <c r="BI22">
        <v>324073202793.67487</v>
      </c>
      <c r="BJ22">
        <v>35698.584825773163</v>
      </c>
      <c r="BK22">
        <v>30541.374291050346</v>
      </c>
      <c r="BL22">
        <v>25572.567874613349</v>
      </c>
      <c r="BM22">
        <v>686.51124664948395</v>
      </c>
      <c r="BN22">
        <v>587.33412098173744</v>
      </c>
      <c r="BO22">
        <v>491.7801514348721</v>
      </c>
      <c r="BP22">
        <v>558176537585.42139</v>
      </c>
      <c r="BQ22">
        <v>558176537585.42114</v>
      </c>
      <c r="BR22">
        <v>694471297597.07581</v>
      </c>
      <c r="BS22">
        <v>1177545534567.2795</v>
      </c>
      <c r="BT22">
        <v>769480109308.1405</v>
      </c>
      <c r="BU22">
        <v>1041250774555.625</v>
      </c>
      <c r="BV22">
        <v>37.4</v>
      </c>
      <c r="BW22">
        <v>15.8</v>
      </c>
      <c r="BX22">
        <v>9.4</v>
      </c>
      <c r="BY22">
        <v>18412984.440923944</v>
      </c>
      <c r="BZ22">
        <v>6764348.1443475271</v>
      </c>
      <c r="CA22">
        <v>1130951.437289983</v>
      </c>
      <c r="CB22">
        <v>26308284.022561453</v>
      </c>
      <c r="CC22">
        <v>26428000</v>
      </c>
      <c r="CD22">
        <v>119715.97743854672</v>
      </c>
      <c r="CE22">
        <v>0.69989302324444047</v>
      </c>
      <c r="CF22">
        <v>0.25711856153546764</v>
      </c>
      <c r="CG22">
        <v>4.2988415220091968E-2</v>
      </c>
      <c r="CH22">
        <v>30.642563444671321</v>
      </c>
      <c r="CI22">
        <v>942213945.07067966</v>
      </c>
      <c r="CJ22">
        <v>806153262.28177214</v>
      </c>
      <c r="CK22">
        <v>31.25</v>
      </c>
      <c r="CL22">
        <v>30.035126889342642</v>
      </c>
      <c r="CM22">
        <v>32.799999999999997</v>
      </c>
      <c r="CN22">
        <v>36.409999999999997</v>
      </c>
      <c r="CO22">
        <v>32.61</v>
      </c>
      <c r="CP22">
        <v>37.369999999999997</v>
      </c>
      <c r="CQ22">
        <v>34.096028675569187</v>
      </c>
      <c r="CR22">
        <v>33.901164198303029</v>
      </c>
      <c r="CS22">
        <v>33.747281687142539</v>
      </c>
      <c r="CT22">
        <v>32.876479786176716</v>
      </c>
      <c r="CU22">
        <v>1772.9934911295977</v>
      </c>
      <c r="CV22">
        <v>1762.8605383117574</v>
      </c>
      <c r="CW22">
        <v>1754.858647731412</v>
      </c>
      <c r="CX22">
        <v>395563293.94368714</v>
      </c>
      <c r="CY22">
        <v>306591879.80459356</v>
      </c>
      <c r="CZ22">
        <v>554078756.31731236</v>
      </c>
      <c r="DA22">
        <v>121076929.81814653</v>
      </c>
      <c r="DB22">
        <v>901089845.83794248</v>
      </c>
      <c r="DC22">
        <v>1274965522.2064791</v>
      </c>
      <c r="DD22">
        <v>427668809.62274009</v>
      </c>
      <c r="DE22">
        <v>46856671983.573006</v>
      </c>
      <c r="DF22">
        <v>66298207154.736908</v>
      </c>
      <c r="DG22">
        <v>22238778100.382484</v>
      </c>
      <c r="DH22">
        <v>1772.9934911295977</v>
      </c>
      <c r="DI22">
        <v>1762.8605383117574</v>
      </c>
      <c r="DJ22">
        <v>1754.8586477314122</v>
      </c>
      <c r="DK22">
        <v>32.047063391258163</v>
      </c>
      <c r="DL22">
        <v>22.649462207269746</v>
      </c>
      <c r="DM22">
        <v>67.522537910260823</v>
      </c>
      <c r="DN22">
        <v>0.59163829826376679</v>
      </c>
      <c r="DO22">
        <v>3.6335788470513504</v>
      </c>
      <c r="DP22">
        <v>0.59163829826376702</v>
      </c>
      <c r="DQ22">
        <v>0.59163829826376702</v>
      </c>
      <c r="DR22">
        <v>3.2130110283093973</v>
      </c>
      <c r="DS22">
        <v>0.86040203237246859</v>
      </c>
      <c r="DT22">
        <v>2.3744021494984251</v>
      </c>
      <c r="DU22">
        <v>3.2130110283093969</v>
      </c>
      <c r="DV22">
        <v>21.42197050219432</v>
      </c>
      <c r="DW22">
        <v>12.674058173374867</v>
      </c>
      <c r="DX22">
        <v>18.222493637609467</v>
      </c>
      <c r="DY22">
        <v>15.678670560693561</v>
      </c>
      <c r="DZ22">
        <v>8.010252396772076</v>
      </c>
      <c r="EA22">
        <v>25.737029290370465</v>
      </c>
      <c r="EB22">
        <v>9.5760286755691872</v>
      </c>
      <c r="EC22">
        <v>13.351164198303028</v>
      </c>
      <c r="ED22">
        <v>24.31728168714254</v>
      </c>
      <c r="EE22">
        <v>39.053950552892282</v>
      </c>
      <c r="EF22">
        <v>64.969168848189923</v>
      </c>
      <c r="EG22">
        <v>257.87149191031324</v>
      </c>
      <c r="EH22">
        <v>14.230282239361063</v>
      </c>
      <c r="EI22">
        <v>12.174498744438658</v>
      </c>
      <c r="EJ22">
        <v>14.57243744826525</v>
      </c>
      <c r="EK22">
        <v>96.1</v>
      </c>
      <c r="EL22">
        <v>2.9987146974038899</v>
      </c>
      <c r="EM22">
        <v>4.2429263494457272</v>
      </c>
      <c r="EN22">
        <v>1.4232284948726208</v>
      </c>
      <c r="EO22">
        <v>3.1204107153006137E-2</v>
      </c>
      <c r="EP22">
        <v>4.4151158683098102E-2</v>
      </c>
      <c r="EQ22">
        <v>1.4809869873804589E-2</v>
      </c>
      <c r="ER22">
        <v>0.44404325181454274</v>
      </c>
      <c r="ES22">
        <v>0.53751822595288978</v>
      </c>
      <c r="ET22">
        <v>0.21581590235296533</v>
      </c>
      <c r="EU22">
        <v>787.28579524720521</v>
      </c>
      <c r="EV22">
        <v>947.56966915569217</v>
      </c>
      <c r="EW22">
        <v>378.72640256205926</v>
      </c>
      <c r="EX22">
        <v>310222</v>
      </c>
      <c r="EY22">
        <v>46573</v>
      </c>
      <c r="EZ22">
        <v>263649</v>
      </c>
      <c r="FA22">
        <v>119.65987691302216</v>
      </c>
      <c r="FB22">
        <v>150.24408528484841</v>
      </c>
      <c r="FC22">
        <v>87.365295685947473</v>
      </c>
      <c r="FD22">
        <v>91.774497996921554</v>
      </c>
      <c r="FE22">
        <v>88.930695554431878</v>
      </c>
      <c r="FF22">
        <v>131.2288856511926</v>
      </c>
      <c r="FG22">
        <v>96.952675068677451</v>
      </c>
      <c r="FH22">
        <v>145.65283765978572</v>
      </c>
      <c r="FI22">
        <v>105.05874070208061</v>
      </c>
      <c r="FJ22">
        <v>70.205488823821014</v>
      </c>
      <c r="FK22">
        <v>102.18130294080791</v>
      </c>
      <c r="FL22">
        <v>148.32653704826291</v>
      </c>
      <c r="FM22">
        <v>88.673934976201778</v>
      </c>
      <c r="FN22">
        <v>91.208089358310417</v>
      </c>
      <c r="FO22">
        <v>89.828204023060493</v>
      </c>
      <c r="FP22">
        <v>131.91657516377651</v>
      </c>
      <c r="FQ22">
        <v>98.808497417810614</v>
      </c>
      <c r="FR22">
        <v>146.50419668397902</v>
      </c>
      <c r="FS22">
        <v>102.83525749061393</v>
      </c>
      <c r="FT22">
        <v>77.668203596876253</v>
      </c>
      <c r="FU22">
        <v>103.48600852306653</v>
      </c>
      <c r="FV22">
        <v>138.50777007232989</v>
      </c>
      <c r="FW22">
        <v>84.94435203363814</v>
      </c>
      <c r="FX22">
        <v>91.688739901569164</v>
      </c>
      <c r="FY22">
        <v>89.968759496514366</v>
      </c>
      <c r="FZ22">
        <v>118.1957562167907</v>
      </c>
      <c r="GA22">
        <v>94.6560975232304</v>
      </c>
      <c r="GB22">
        <v>131.40160007452886</v>
      </c>
      <c r="GC22">
        <v>107.96553140194749</v>
      </c>
      <c r="GD22">
        <v>86.600006008342376</v>
      </c>
      <c r="GE22">
        <v>110.82607809318026</v>
      </c>
      <c r="GF22">
        <v>96.1</v>
      </c>
      <c r="GG22">
        <v>153.51437699680511</v>
      </c>
      <c r="GH22">
        <v>119.65987691302216</v>
      </c>
      <c r="GI22">
        <v>310222</v>
      </c>
      <c r="GJ22">
        <v>128.65555767524032</v>
      </c>
      <c r="GK22">
        <v>103.50065903688426</v>
      </c>
      <c r="GL22">
        <v>45.281496701601547</v>
      </c>
      <c r="GM22">
        <v>88.223665596166228</v>
      </c>
      <c r="GN22">
        <v>108.54295201339374</v>
      </c>
      <c r="GO22">
        <v>123.9744002795691</v>
      </c>
    </row>
    <row r="23" spans="1:197" x14ac:dyDescent="0.35">
      <c r="A23">
        <v>2013</v>
      </c>
      <c r="B23">
        <v>879510000000</v>
      </c>
      <c r="C23">
        <v>91.5</v>
      </c>
      <c r="D23">
        <v>0.91500000000000004</v>
      </c>
      <c r="E23">
        <v>9612131147.5409832</v>
      </c>
      <c r="F23">
        <v>961213114754.09827</v>
      </c>
      <c r="G23">
        <v>62298000000</v>
      </c>
      <c r="H23">
        <v>16414000000</v>
      </c>
      <c r="I23">
        <v>316379000000</v>
      </c>
      <c r="J23">
        <v>112695000000</v>
      </c>
      <c r="K23">
        <v>89</v>
      </c>
      <c r="L23">
        <v>0.89</v>
      </c>
      <c r="M23">
        <v>699977528.08988762</v>
      </c>
      <c r="N23">
        <v>3554820224.719101</v>
      </c>
      <c r="O23">
        <v>3554820224.719101</v>
      </c>
      <c r="P23">
        <v>69997752808.98877</v>
      </c>
      <c r="Q23">
        <v>18442696629.213482</v>
      </c>
      <c r="R23">
        <v>355482022471.9101</v>
      </c>
      <c r="S23">
        <v>443922471910.11237</v>
      </c>
      <c r="T23">
        <v>1266235955.0561798</v>
      </c>
      <c r="U23">
        <v>126623595505.61798</v>
      </c>
      <c r="V23">
        <v>1531759182169.8286</v>
      </c>
      <c r="W23">
        <v>1387296000000</v>
      </c>
      <c r="X23">
        <v>85.458299999999994</v>
      </c>
      <c r="Y23">
        <v>0.85458299999999998</v>
      </c>
      <c r="Z23">
        <v>1623360165133.1702</v>
      </c>
      <c r="AA23">
        <v>0.2541388198163852</v>
      </c>
      <c r="AB23">
        <v>0.3191156127677402</v>
      </c>
      <c r="AC23">
        <v>0.57325443258412534</v>
      </c>
      <c r="AD23">
        <v>0.28656135764638418</v>
      </c>
      <c r="AE23">
        <v>0.85981579023050947</v>
      </c>
      <c r="AF23">
        <v>0.14018420976949053</v>
      </c>
      <c r="AG23">
        <v>2439000</v>
      </c>
      <c r="AH23">
        <v>24148000</v>
      </c>
      <c r="AI23">
        <v>26587000</v>
      </c>
      <c r="AJ23">
        <v>0.20264749999999998</v>
      </c>
      <c r="AK23">
        <v>4893531.8299999991</v>
      </c>
      <c r="AL23">
        <v>0.79735250000000002</v>
      </c>
      <c r="AM23">
        <v>19254468.170000002</v>
      </c>
      <c r="AN23">
        <v>0.4906452</v>
      </c>
      <c r="AO23">
        <v>9447112.386163285</v>
      </c>
      <c r="AP23">
        <v>9807355.7838367168</v>
      </c>
      <c r="AQ23">
        <v>497.26543330080494</v>
      </c>
      <c r="AR23">
        <v>0.70410300000000003</v>
      </c>
      <c r="AS23">
        <v>3445550.4420984895</v>
      </c>
      <c r="AT23">
        <v>1447981.3879015096</v>
      </c>
      <c r="AU23">
        <v>12892662.828261774</v>
      </c>
      <c r="AV23">
        <v>11255337.171738226</v>
      </c>
      <c r="AW23">
        <v>89094362944.59404</v>
      </c>
      <c r="AX23">
        <v>37529232561.023941</v>
      </c>
      <c r="AY23">
        <v>244281566575.63815</v>
      </c>
      <c r="AZ23">
        <v>306738112115.14227</v>
      </c>
      <c r="BA23">
        <v>275446535151.44409</v>
      </c>
      <c r="BB23">
        <v>826466213842.22449</v>
      </c>
      <c r="BC23">
        <v>961213114754.09827</v>
      </c>
      <c r="BD23">
        <v>0.85981579023050958</v>
      </c>
      <c r="BE23">
        <v>0.85981579023050947</v>
      </c>
      <c r="BF23">
        <v>12304790.289626502</v>
      </c>
      <c r="BG23">
        <v>961213114754.09827</v>
      </c>
      <c r="BH23">
        <v>826466213842.22437</v>
      </c>
      <c r="BI23">
        <v>333375929520.23218</v>
      </c>
      <c r="BJ23">
        <v>36153.500385680905</v>
      </c>
      <c r="BK23">
        <v>31085.350503713256</v>
      </c>
      <c r="BL23">
        <v>25857.802531641857</v>
      </c>
      <c r="BM23">
        <v>695.25962280155591</v>
      </c>
      <c r="BN23">
        <v>597.79520199448575</v>
      </c>
      <c r="BO23">
        <v>497.26543330080494</v>
      </c>
      <c r="BP23">
        <v>570546067415.73035</v>
      </c>
      <c r="BQ23">
        <v>570546067415.73035</v>
      </c>
      <c r="BR23">
        <v>705292968327.60413</v>
      </c>
      <c r="BS23">
        <v>1198383252649.5964</v>
      </c>
      <c r="BT23">
        <v>788189816586.27856</v>
      </c>
      <c r="BU23">
        <v>1063636351737.7227</v>
      </c>
      <c r="BV23">
        <v>37.5</v>
      </c>
      <c r="BW23">
        <v>15.9</v>
      </c>
      <c r="BX23">
        <v>9.3000000000000007</v>
      </c>
      <c r="BY23">
        <v>18714345.931715693</v>
      </c>
      <c r="BZ23">
        <v>6777801.1939537367</v>
      </c>
      <c r="CA23">
        <v>1141243.9647808725</v>
      </c>
      <c r="CB23">
        <v>26633391.090450302</v>
      </c>
      <c r="CC23">
        <v>26587000</v>
      </c>
      <c r="CD23">
        <v>-46391.090450301766</v>
      </c>
      <c r="CE23">
        <v>0.70266478152028977</v>
      </c>
      <c r="CF23">
        <v>0.25448509996100316</v>
      </c>
      <c r="CG23">
        <v>4.2850118518707077E-2</v>
      </c>
      <c r="CH23">
        <v>30.794748498614794</v>
      </c>
      <c r="CI23">
        <v>961527382.40639627</v>
      </c>
      <c r="CJ23">
        <v>820168580.29566503</v>
      </c>
      <c r="CK23">
        <v>31.62</v>
      </c>
      <c r="CL23">
        <v>29.969496997229587</v>
      </c>
      <c r="CM23">
        <v>32.97</v>
      </c>
      <c r="CN23">
        <v>36.4</v>
      </c>
      <c r="CO23">
        <v>32.450000000000003</v>
      </c>
      <c r="CP23">
        <v>37.549999999999997</v>
      </c>
      <c r="CQ23">
        <v>34.103727480360163</v>
      </c>
      <c r="CR23">
        <v>33.943647216366251</v>
      </c>
      <c r="CS23">
        <v>33.88666385554513</v>
      </c>
      <c r="CT23">
        <v>32.841427128679157</v>
      </c>
      <c r="CU23">
        <v>1773.3938289787284</v>
      </c>
      <c r="CV23">
        <v>1765.0696552510451</v>
      </c>
      <c r="CW23">
        <v>1762.1065204883469</v>
      </c>
      <c r="CX23">
        <v>401492591.84046209</v>
      </c>
      <c r="CY23">
        <v>311471295.37180352</v>
      </c>
      <c r="CZ23">
        <v>576164076.1850822</v>
      </c>
      <c r="DA23">
        <v>125418036.09238501</v>
      </c>
      <c r="DB23">
        <v>906715802.52033567</v>
      </c>
      <c r="DC23">
        <v>1284506942.8002653</v>
      </c>
      <c r="DD23">
        <v>436889331.46418852</v>
      </c>
      <c r="DE23">
        <v>47149221731.057457</v>
      </c>
      <c r="DF23">
        <v>66794361025.6138</v>
      </c>
      <c r="DG23">
        <v>22718245236.137802</v>
      </c>
      <c r="DH23">
        <v>1773.3938289787286</v>
      </c>
      <c r="DI23">
        <v>1765.0696552510453</v>
      </c>
      <c r="DJ23">
        <v>1762.1065204883466</v>
      </c>
      <c r="DK23">
        <v>32.487475422332373</v>
      </c>
      <c r="DL23">
        <v>22.93246254099865</v>
      </c>
      <c r="DM23">
        <v>67.424185549915038</v>
      </c>
      <c r="DN23">
        <v>0.5935687504239785</v>
      </c>
      <c r="DO23">
        <v>3.5946903976367257</v>
      </c>
      <c r="DP23">
        <v>0.5935687504239785</v>
      </c>
      <c r="DQ23">
        <v>0.5935687504239785</v>
      </c>
      <c r="DR23">
        <v>3.1905013456383085</v>
      </c>
      <c r="DS23">
        <v>0.85338390912401796</v>
      </c>
      <c r="DT23">
        <v>2.3642673234404712</v>
      </c>
      <c r="DU23">
        <v>3.1905013456383085</v>
      </c>
      <c r="DV23">
        <v>21.400851059163067</v>
      </c>
      <c r="DW23">
        <v>12.702876421197097</v>
      </c>
      <c r="DX23">
        <v>18.314417778888213</v>
      </c>
      <c r="DY23">
        <v>15.629229437478038</v>
      </c>
      <c r="DZ23">
        <v>8.0865416952594771</v>
      </c>
      <c r="EA23">
        <v>25.800122160285653</v>
      </c>
      <c r="EB23">
        <v>9.5837274803601638</v>
      </c>
      <c r="EC23">
        <v>13.393647216366251</v>
      </c>
      <c r="ED23">
        <v>24.456663855545131</v>
      </c>
      <c r="EE23">
        <v>39.085348614845692</v>
      </c>
      <c r="EF23">
        <v>65.175898863096108</v>
      </c>
      <c r="EG23">
        <v>259.34956368552633</v>
      </c>
      <c r="EH23">
        <v>14.390632682083739</v>
      </c>
      <c r="EI23">
        <v>12.373293211462826</v>
      </c>
      <c r="EJ23">
        <v>14.674369699554642</v>
      </c>
      <c r="EK23">
        <v>98.5</v>
      </c>
      <c r="EL23">
        <v>3.0319376534961417</v>
      </c>
      <c r="EM23">
        <v>4.2952212316449545</v>
      </c>
      <c r="EN23">
        <v>1.4609001087166136</v>
      </c>
      <c r="EO23">
        <v>3.0781092928894842E-2</v>
      </c>
      <c r="EP23">
        <v>4.3606306920253343E-2</v>
      </c>
      <c r="EQ23">
        <v>1.4831473184940238E-2</v>
      </c>
      <c r="ER23">
        <v>0.4429594018928108</v>
      </c>
      <c r="ES23">
        <v>0.53955362139333518</v>
      </c>
      <c r="ET23">
        <v>0.21764252070484422</v>
      </c>
      <c r="EU23">
        <v>785.54146980481926</v>
      </c>
      <c r="EV23">
        <v>952.3497245021872</v>
      </c>
      <c r="EW23">
        <v>383.50930486952598</v>
      </c>
      <c r="EX23">
        <v>320303</v>
      </c>
      <c r="EY23">
        <v>47502</v>
      </c>
      <c r="EZ23">
        <v>272801</v>
      </c>
      <c r="FA23">
        <v>123.81360855436341</v>
      </c>
      <c r="FB23">
        <v>152.30883929832336</v>
      </c>
      <c r="FC23">
        <v>87.279164189082664</v>
      </c>
      <c r="FD23">
        <v>91.983174664714667</v>
      </c>
      <c r="FE23">
        <v>88.950775900782887</v>
      </c>
      <c r="FF23">
        <v>132.90116656326342</v>
      </c>
      <c r="FG23">
        <v>96.716026614150834</v>
      </c>
      <c r="FH23">
        <v>147.29409091180901</v>
      </c>
      <c r="FI23">
        <v>105.4015360781281</v>
      </c>
      <c r="FJ23">
        <v>70.261931674194742</v>
      </c>
      <c r="FK23">
        <v>103.3133762734229</v>
      </c>
      <c r="FL23">
        <v>150.17984637196236</v>
      </c>
      <c r="FM23">
        <v>89.12125439848279</v>
      </c>
      <c r="FN23">
        <v>90.920473749145074</v>
      </c>
      <c r="FO23">
        <v>89.940771638490318</v>
      </c>
      <c r="FP23">
        <v>134.26615767637747</v>
      </c>
      <c r="FQ23">
        <v>99.182650991421909</v>
      </c>
      <c r="FR23">
        <v>148.8964285374588</v>
      </c>
      <c r="FS23">
        <v>101.99645134627551</v>
      </c>
      <c r="FT23">
        <v>77.915341572811229</v>
      </c>
      <c r="FU23">
        <v>104.76149345475501</v>
      </c>
      <c r="FV23">
        <v>138.30602164085136</v>
      </c>
      <c r="FW23">
        <v>85.753358380270171</v>
      </c>
      <c r="FX23">
        <v>91.913509655452984</v>
      </c>
      <c r="FY23">
        <v>90.340346189136582</v>
      </c>
      <c r="FZ23">
        <v>119.51410352364016</v>
      </c>
      <c r="GA23">
        <v>95.457245923177283</v>
      </c>
      <c r="GB23">
        <v>132.32073669571363</v>
      </c>
      <c r="GC23">
        <v>107.20914748982877</v>
      </c>
      <c r="GD23">
        <v>87.096381251941352</v>
      </c>
      <c r="GE23">
        <v>113.7595474783222</v>
      </c>
      <c r="GF23">
        <v>98.5</v>
      </c>
      <c r="GG23">
        <v>157.34824281150159</v>
      </c>
      <c r="GH23">
        <v>123.81360855436341</v>
      </c>
      <c r="GI23">
        <v>320303</v>
      </c>
      <c r="GJ23">
        <v>132.8363594137505</v>
      </c>
      <c r="GK23">
        <v>103.81326465641567</v>
      </c>
      <c r="GL23">
        <v>42.024675367098276</v>
      </c>
      <c r="GM23">
        <v>87.300329820660508</v>
      </c>
      <c r="GN23">
        <v>106.21806646272573</v>
      </c>
      <c r="GO23">
        <v>125.56744105379123</v>
      </c>
    </row>
    <row r="24" spans="1:197" x14ac:dyDescent="0.35">
      <c r="A24">
        <v>2014</v>
      </c>
      <c r="B24">
        <v>900327000000</v>
      </c>
      <c r="C24">
        <v>90.9</v>
      </c>
      <c r="D24">
        <v>0.90900000000000003</v>
      </c>
      <c r="E24">
        <v>9904587458.7458744</v>
      </c>
      <c r="F24">
        <v>990458745874.5874</v>
      </c>
      <c r="G24">
        <v>66126000000</v>
      </c>
      <c r="H24">
        <v>16508000000</v>
      </c>
      <c r="I24">
        <v>342630000000</v>
      </c>
      <c r="J24">
        <v>120241000000</v>
      </c>
      <c r="K24">
        <v>92.8</v>
      </c>
      <c r="L24">
        <v>0.92799999999999994</v>
      </c>
      <c r="M24">
        <v>712564655.17241383</v>
      </c>
      <c r="N24">
        <v>3692133620.6896553</v>
      </c>
      <c r="O24">
        <v>3692133620.6896553</v>
      </c>
      <c r="P24">
        <v>71256465517.241379</v>
      </c>
      <c r="Q24">
        <v>17788793103.448277</v>
      </c>
      <c r="R24">
        <v>369213362068.96552</v>
      </c>
      <c r="S24">
        <v>458258620689.65515</v>
      </c>
      <c r="T24">
        <v>1295700431.0344827</v>
      </c>
      <c r="U24">
        <v>129570043103.44829</v>
      </c>
      <c r="V24">
        <v>1578287409667.6909</v>
      </c>
      <c r="W24">
        <v>1445832000000</v>
      </c>
      <c r="X24">
        <v>86.821550000000002</v>
      </c>
      <c r="Y24">
        <v>0.86821550000000003</v>
      </c>
      <c r="Z24">
        <v>1665291624026.5232</v>
      </c>
      <c r="AA24">
        <v>0.25572459045095153</v>
      </c>
      <c r="AB24">
        <v>0.3225708924599906</v>
      </c>
      <c r="AC24">
        <v>0.57829548291094213</v>
      </c>
      <c r="AD24">
        <v>0.282637789541269</v>
      </c>
      <c r="AE24">
        <v>0.86093327245221118</v>
      </c>
      <c r="AF24">
        <v>0.13906672754778882</v>
      </c>
      <c r="AG24">
        <v>2370000</v>
      </c>
      <c r="AH24">
        <v>25133000</v>
      </c>
      <c r="AI24">
        <v>27503000</v>
      </c>
      <c r="AJ24">
        <v>0.20414170000000001</v>
      </c>
      <c r="AK24">
        <v>5130693.3461000007</v>
      </c>
      <c r="AL24">
        <v>0.79585830000000002</v>
      </c>
      <c r="AM24">
        <v>20002306.653900001</v>
      </c>
      <c r="AN24">
        <v>0.49939359999999999</v>
      </c>
      <c r="AO24">
        <v>9989023.9281950761</v>
      </c>
      <c r="AP24">
        <v>10013282.725704925</v>
      </c>
      <c r="AQ24">
        <v>487.62109554533384</v>
      </c>
      <c r="AR24">
        <v>0.70201013800000001</v>
      </c>
      <c r="AS24">
        <v>3601798.7439313433</v>
      </c>
      <c r="AT24">
        <v>1528894.6021686574</v>
      </c>
      <c r="AU24">
        <v>13590822.67212642</v>
      </c>
      <c r="AV24">
        <v>11542177.327873582</v>
      </c>
      <c r="AW24">
        <v>91328278571.379669</v>
      </c>
      <c r="AX24">
        <v>38241764532.068619</v>
      </c>
      <c r="AY24">
        <v>253284657147.34195</v>
      </c>
      <c r="AZ24">
        <v>319493161601.56866</v>
      </c>
      <c r="BA24">
        <v>279941070565.81085</v>
      </c>
      <c r="BB24">
        <v>852718889314.72144</v>
      </c>
      <c r="BC24">
        <v>990458745874.5874</v>
      </c>
      <c r="BD24">
        <v>0.86093327245221107</v>
      </c>
      <c r="BE24">
        <v>0.86093327245221085</v>
      </c>
      <c r="BF24">
        <v>11550461.114018168</v>
      </c>
      <c r="BG24">
        <v>990458745874.5874</v>
      </c>
      <c r="BH24">
        <v>852718889314.72119</v>
      </c>
      <c r="BI24">
        <v>344612935718.72162</v>
      </c>
      <c r="BJ24">
        <v>36012.753004202721</v>
      </c>
      <c r="BK24">
        <v>31004.577293921433</v>
      </c>
      <c r="BL24">
        <v>25356.296968357361</v>
      </c>
      <c r="BM24">
        <v>692.55294238851388</v>
      </c>
      <c r="BN24">
        <v>596.24187103695067</v>
      </c>
      <c r="BO24">
        <v>487.62109554533384</v>
      </c>
      <c r="BP24">
        <v>587828663793.10339</v>
      </c>
      <c r="BQ24">
        <v>587828663793.10352</v>
      </c>
      <c r="BR24">
        <v>725568520352.96948</v>
      </c>
      <c r="BS24">
        <v>1233674473948.9692</v>
      </c>
      <c r="BT24">
        <v>815993546823.29248</v>
      </c>
      <c r="BU24">
        <v>1095934617389.1033</v>
      </c>
      <c r="BV24">
        <v>37.6</v>
      </c>
      <c r="BW24">
        <v>16</v>
      </c>
      <c r="BX24">
        <v>9.5</v>
      </c>
      <c r="BY24">
        <v>19098155.230097957</v>
      </c>
      <c r="BZ24">
        <v>6811032.7712115115</v>
      </c>
      <c r="CA24">
        <v>1194488.1287626701</v>
      </c>
      <c r="CB24">
        <v>27103676.130072139</v>
      </c>
      <c r="CC24">
        <v>27503000</v>
      </c>
      <c r="CD24">
        <v>399323.8699278608</v>
      </c>
      <c r="CE24">
        <v>0.70463339136893399</v>
      </c>
      <c r="CF24">
        <v>0.25129553417495709</v>
      </c>
      <c r="CG24">
        <v>4.4071074456108875E-2</v>
      </c>
      <c r="CH24">
        <v>30.933619269604268</v>
      </c>
      <c r="CI24">
        <v>987018623.34460247</v>
      </c>
      <c r="CJ24">
        <v>838414798.21431279</v>
      </c>
      <c r="CK24">
        <v>31.61</v>
      </c>
      <c r="CL24">
        <v>30.257238539208537</v>
      </c>
      <c r="CM24">
        <v>32.979999999999997</v>
      </c>
      <c r="CN24">
        <v>36</v>
      </c>
      <c r="CO24">
        <v>32.49</v>
      </c>
      <c r="CP24">
        <v>36.53</v>
      </c>
      <c r="CQ24">
        <v>33.94464272049732</v>
      </c>
      <c r="CR24">
        <v>33.802932434458263</v>
      </c>
      <c r="CS24">
        <v>33.780351271522456</v>
      </c>
      <c r="CT24">
        <v>32.784068577214342</v>
      </c>
      <c r="CU24">
        <v>1765.1214214658607</v>
      </c>
      <c r="CV24">
        <v>1757.7524865918297</v>
      </c>
      <c r="CW24">
        <v>1756.5782661191677</v>
      </c>
      <c r="CX24">
        <v>423985949.7024442</v>
      </c>
      <c r="CY24">
        <v>329438009.15187359</v>
      </c>
      <c r="CZ24">
        <v>596007708.26993763</v>
      </c>
      <c r="DA24">
        <v>129664754.78152835</v>
      </c>
      <c r="DB24">
        <v>933579508.74183786</v>
      </c>
      <c r="DC24">
        <v>1319841491.1055522</v>
      </c>
      <c r="DD24">
        <v>459102763.93340194</v>
      </c>
      <c r="DE24">
        <v>48546134454.575569</v>
      </c>
      <c r="DF24">
        <v>68631757537.488716</v>
      </c>
      <c r="DG24">
        <v>23873343724.5369</v>
      </c>
      <c r="DH24">
        <v>1765.1214214658607</v>
      </c>
      <c r="DI24">
        <v>1757.7524865918297</v>
      </c>
      <c r="DJ24">
        <v>1756.5782661191677</v>
      </c>
      <c r="DK24">
        <v>32.51108306356479</v>
      </c>
      <c r="DL24">
        <v>22.996459165504877</v>
      </c>
      <c r="DM24">
        <v>66.110865234413524</v>
      </c>
      <c r="DN24">
        <v>0.59349131525315924</v>
      </c>
      <c r="DO24">
        <v>3.5798844038632183</v>
      </c>
      <c r="DP24">
        <v>0.59349131525315912</v>
      </c>
      <c r="DQ24">
        <v>0.59349131525315912</v>
      </c>
      <c r="DR24">
        <v>3.1801900155124239</v>
      </c>
      <c r="DS24">
        <v>0.85088829325226389</v>
      </c>
      <c r="DT24">
        <v>2.367855243510995</v>
      </c>
      <c r="DU24">
        <v>3.1801900155124239</v>
      </c>
      <c r="DV24">
        <v>21.302056933460292</v>
      </c>
      <c r="DW24">
        <v>12.642585787037028</v>
      </c>
      <c r="DX24">
        <v>18.263086193636184</v>
      </c>
      <c r="DY24">
        <v>15.539846240822079</v>
      </c>
      <c r="DZ24">
        <v>8.0810563984330095</v>
      </c>
      <c r="EA24">
        <v>25.699294873089446</v>
      </c>
      <c r="EB24">
        <v>9.4246427204973209</v>
      </c>
      <c r="EC24">
        <v>13.252932434458263</v>
      </c>
      <c r="ED24">
        <v>24.350351271522456</v>
      </c>
      <c r="EE24">
        <v>38.436552693708485</v>
      </c>
      <c r="EF24">
        <v>64.491155398823665</v>
      </c>
      <c r="EG24">
        <v>258.22217679239088</v>
      </c>
      <c r="EH24">
        <v>14.431493253448584</v>
      </c>
      <c r="EI24">
        <v>12.424552713063491</v>
      </c>
      <c r="EJ24">
        <v>14.435051063439019</v>
      </c>
      <c r="EK24">
        <v>100</v>
      </c>
      <c r="EL24">
        <v>3.0758741505006988</v>
      </c>
      <c r="EM24">
        <v>4.3484955349126917</v>
      </c>
      <c r="EN24">
        <v>1.5126106676326743</v>
      </c>
      <c r="EO24">
        <v>3.0758741505006987E-2</v>
      </c>
      <c r="EP24">
        <v>4.3484955349126914E-2</v>
      </c>
      <c r="EQ24">
        <v>1.5126106676326743E-2</v>
      </c>
      <c r="ER24">
        <v>0.44389457051407727</v>
      </c>
      <c r="ES24">
        <v>0.54028111996043959</v>
      </c>
      <c r="ET24">
        <v>0.2183461222638024</v>
      </c>
      <c r="EU24">
        <v>783.52781528678588</v>
      </c>
      <c r="EV24">
        <v>949.68048206908134</v>
      </c>
      <c r="EW24">
        <v>383.54205285999382</v>
      </c>
      <c r="EX24">
        <v>342840</v>
      </c>
      <c r="EY24">
        <v>48224</v>
      </c>
      <c r="EZ24">
        <v>294616</v>
      </c>
      <c r="FA24">
        <v>133.71457618502987</v>
      </c>
      <c r="FB24">
        <v>152.41951741005528</v>
      </c>
      <c r="FC24">
        <v>86.876251767782591</v>
      </c>
      <c r="FD24">
        <v>91.546602368117505</v>
      </c>
      <c r="FE24">
        <v>88.535844341411888</v>
      </c>
      <c r="FF24">
        <v>132.3837756885313</v>
      </c>
      <c r="FG24">
        <v>96.92021190263695</v>
      </c>
      <c r="FH24">
        <v>147.71231579783608</v>
      </c>
      <c r="FI24">
        <v>105.38778571484669</v>
      </c>
      <c r="FJ24">
        <v>69.095621118015544</v>
      </c>
      <c r="FK24">
        <v>104.81051386856232</v>
      </c>
      <c r="FL24">
        <v>150.5989467289121</v>
      </c>
      <c r="FM24">
        <v>88.87146566246318</v>
      </c>
      <c r="FN24">
        <v>90.400501691809637</v>
      </c>
      <c r="FO24">
        <v>89.567918480281563</v>
      </c>
      <c r="FP24">
        <v>133.91727602163658</v>
      </c>
      <c r="FQ24">
        <v>99.316382345669041</v>
      </c>
      <c r="FR24">
        <v>149.51326971195536</v>
      </c>
      <c r="FS24">
        <v>101.6981753181938</v>
      </c>
      <c r="FT24">
        <v>77.096756454091107</v>
      </c>
      <c r="FU24">
        <v>106.06086670518762</v>
      </c>
      <c r="FV24">
        <v>135.61203125007901</v>
      </c>
      <c r="FW24">
        <v>85.695189803107212</v>
      </c>
      <c r="FX24">
        <v>91.554310199819895</v>
      </c>
      <c r="FY24">
        <v>90.056921544981222</v>
      </c>
      <c r="FZ24">
        <v>117.19615760635963</v>
      </c>
      <c r="GA24">
        <v>95.765843098158939</v>
      </c>
      <c r="GB24">
        <v>130.16276883173146</v>
      </c>
      <c r="GC24">
        <v>106.86265996560518</v>
      </c>
      <c r="GD24">
        <v>86.717775183484534</v>
      </c>
      <c r="GE24">
        <v>117.78622236666207</v>
      </c>
      <c r="GF24">
        <v>100</v>
      </c>
      <c r="GG24">
        <v>159.7444089456869</v>
      </c>
      <c r="GH24">
        <v>133.71457618502987</v>
      </c>
      <c r="GI24">
        <v>342840</v>
      </c>
      <c r="GJ24">
        <v>142.18292510969368</v>
      </c>
      <c r="GK24">
        <v>100.24285453397881</v>
      </c>
      <c r="GL24">
        <v>42.448085272523514</v>
      </c>
      <c r="GM24">
        <v>84.92625947909373</v>
      </c>
      <c r="GN24">
        <v>102.36449745169756</v>
      </c>
      <c r="GO24">
        <v>126.13995857463709</v>
      </c>
    </row>
    <row r="25" spans="1:197" x14ac:dyDescent="0.35">
      <c r="A25">
        <v>2015</v>
      </c>
      <c r="B25">
        <v>928123000000</v>
      </c>
      <c r="C25">
        <v>91.3</v>
      </c>
      <c r="D25">
        <v>0.91299999999999992</v>
      </c>
      <c r="E25">
        <v>10165640744.797371</v>
      </c>
      <c r="F25">
        <v>1016564074479.7372</v>
      </c>
      <c r="G25">
        <v>58603000000</v>
      </c>
      <c r="H25">
        <v>17397000000</v>
      </c>
      <c r="I25">
        <v>356065000000</v>
      </c>
      <c r="J25">
        <v>126219000000</v>
      </c>
      <c r="K25">
        <v>93.5</v>
      </c>
      <c r="L25">
        <v>0.93500000000000005</v>
      </c>
      <c r="M25">
        <v>626770053.47593582</v>
      </c>
      <c r="N25">
        <v>3808181818.181818</v>
      </c>
      <c r="O25">
        <v>3808181818.181818</v>
      </c>
      <c r="P25">
        <v>62677005347.593582</v>
      </c>
      <c r="Q25">
        <v>18606417112.299465</v>
      </c>
      <c r="R25">
        <v>380818181818.18182</v>
      </c>
      <c r="S25">
        <v>462101604278.07489</v>
      </c>
      <c r="T25">
        <v>1349935828.8770053</v>
      </c>
      <c r="U25">
        <v>134993582887.70053</v>
      </c>
      <c r="V25">
        <v>1613659261645.5125</v>
      </c>
      <c r="W25">
        <v>1486407000000</v>
      </c>
      <c r="X25">
        <v>87.267074999999991</v>
      </c>
      <c r="Y25">
        <v>0.87267074999999994</v>
      </c>
      <c r="Z25">
        <v>1703285001817.696</v>
      </c>
      <c r="AA25">
        <v>0.23729942747675492</v>
      </c>
      <c r="AB25">
        <v>0.30839640335905272</v>
      </c>
      <c r="AC25">
        <v>0.54569583083580764</v>
      </c>
      <c r="AD25">
        <v>0.30424815801761523</v>
      </c>
      <c r="AE25">
        <v>0.84994398885342282</v>
      </c>
      <c r="AF25">
        <v>0.15005601114657707</v>
      </c>
      <c r="AG25">
        <v>2286000</v>
      </c>
      <c r="AH25">
        <v>25676000</v>
      </c>
      <c r="AI25">
        <v>27962000</v>
      </c>
      <c r="AJ25">
        <v>0.20890040000000001</v>
      </c>
      <c r="AK25">
        <v>5363726.6704000002</v>
      </c>
      <c r="AL25">
        <v>0.79109960000000001</v>
      </c>
      <c r="AM25">
        <v>20312273.329599999</v>
      </c>
      <c r="AN25">
        <v>0.48673880000000003</v>
      </c>
      <c r="AO25">
        <v>9886771.5457215086</v>
      </c>
      <c r="AP25">
        <v>10425501.78387849</v>
      </c>
      <c r="AQ25">
        <v>469.21685621871916</v>
      </c>
      <c r="AR25">
        <v>0.68051870000000003</v>
      </c>
      <c r="AS25">
        <v>3650116.3008959368</v>
      </c>
      <c r="AT25">
        <v>1713610.3695040634</v>
      </c>
      <c r="AU25">
        <v>13536887.846617445</v>
      </c>
      <c r="AV25">
        <v>12139112.153382555</v>
      </c>
      <c r="AW25">
        <v>89060196968.032776</v>
      </c>
      <c r="AX25">
        <v>45933385919.667755</v>
      </c>
      <c r="AY25">
        <v>241230072867.47888</v>
      </c>
      <c r="AZ25">
        <v>313504704353.57513</v>
      </c>
      <c r="BA25">
        <v>309287747167.34186</v>
      </c>
      <c r="BB25">
        <v>864022524388.39575</v>
      </c>
      <c r="BC25">
        <v>1016564074479.7372</v>
      </c>
      <c r="BD25">
        <v>0.8499439888534227</v>
      </c>
      <c r="BE25">
        <v>0.84994398885342282</v>
      </c>
      <c r="BF25">
        <v>13393029.00855536</v>
      </c>
      <c r="BG25">
        <v>1016564074479.7372</v>
      </c>
      <c r="BH25">
        <v>864022524388.39587</v>
      </c>
      <c r="BI25">
        <v>330290269835.51166</v>
      </c>
      <c r="BJ25">
        <v>36355.199001492641</v>
      </c>
      <c r="BK25">
        <v>30899.88285488863</v>
      </c>
      <c r="BL25">
        <v>24399.276523373395</v>
      </c>
      <c r="BM25">
        <v>699.13844233639691</v>
      </c>
      <c r="BN25">
        <v>594.228516440166</v>
      </c>
      <c r="BO25">
        <v>469.21685621871916</v>
      </c>
      <c r="BP25">
        <v>597095187165.77539</v>
      </c>
      <c r="BQ25">
        <v>597095187165.77527</v>
      </c>
      <c r="BR25">
        <v>749636737257.1167</v>
      </c>
      <c r="BS25">
        <v>1283368991810.0007</v>
      </c>
      <c r="BT25">
        <v>821539694551.31787</v>
      </c>
      <c r="BU25">
        <v>1130827441718.6597</v>
      </c>
      <c r="BV25">
        <v>37.5</v>
      </c>
      <c r="BW25">
        <v>16.3</v>
      </c>
      <c r="BX25">
        <v>9.4</v>
      </c>
      <c r="BY25">
        <v>19562345.374079455</v>
      </c>
      <c r="BZ25">
        <v>6909036.9737029495</v>
      </c>
      <c r="CA25">
        <v>1186207.0551751761</v>
      </c>
      <c r="CB25">
        <v>27657589.402957581</v>
      </c>
      <c r="CC25">
        <v>27962000</v>
      </c>
      <c r="CD25">
        <v>304410.59704241902</v>
      </c>
      <c r="CE25">
        <v>0.70730478672835972</v>
      </c>
      <c r="CF25">
        <v>0.24980618784383746</v>
      </c>
      <c r="CG25">
        <v>4.288902542780277E-2</v>
      </c>
      <c r="CH25">
        <v>30.998927203189385</v>
      </c>
      <c r="CI25">
        <v>1002639263.2773901</v>
      </c>
      <c r="CJ25">
        <v>857355600.51798427</v>
      </c>
      <c r="CK25">
        <v>31.7</v>
      </c>
      <c r="CL25">
        <v>30.297854406378772</v>
      </c>
      <c r="CM25">
        <v>33</v>
      </c>
      <c r="CN25">
        <v>35.49</v>
      </c>
      <c r="CO25">
        <v>32.590000000000003</v>
      </c>
      <c r="CP25">
        <v>36.61</v>
      </c>
      <c r="CQ25">
        <v>33.849873638721107</v>
      </c>
      <c r="CR25">
        <v>33.727318156486135</v>
      </c>
      <c r="CS25">
        <v>33.671409092858958</v>
      </c>
      <c r="CT25">
        <v>32.92650855770075</v>
      </c>
      <c r="CU25">
        <v>1760.1934292134974</v>
      </c>
      <c r="CV25">
        <v>1753.8205441372791</v>
      </c>
      <c r="CW25">
        <v>1750.9132728286659</v>
      </c>
      <c r="CX25">
        <v>420808617.93335056</v>
      </c>
      <c r="CY25">
        <v>326263461.0088098</v>
      </c>
      <c r="CZ25">
        <v>588340468.49110937</v>
      </c>
      <c r="DA25">
        <v>129542627.5187968</v>
      </c>
      <c r="DB25">
        <v>946510166.68591964</v>
      </c>
      <c r="DC25">
        <v>1352502968.0260663</v>
      </c>
      <c r="DD25">
        <v>455806088.52760661</v>
      </c>
      <c r="DE25">
        <v>49218528667.667824</v>
      </c>
      <c r="DF25">
        <v>70330154337.355453</v>
      </c>
      <c r="DG25">
        <v>23701916603.435543</v>
      </c>
      <c r="DH25">
        <v>1760.1934292134977</v>
      </c>
      <c r="DI25">
        <v>1753.8205441372793</v>
      </c>
      <c r="DJ25">
        <v>1750.9132728286659</v>
      </c>
      <c r="DK25">
        <v>32.785605448330728</v>
      </c>
      <c r="DL25">
        <v>22.944059725863941</v>
      </c>
      <c r="DM25">
        <v>68.081382980295189</v>
      </c>
      <c r="DN25">
        <v>0.58736601278316858</v>
      </c>
      <c r="DO25">
        <v>3.8855791678305667</v>
      </c>
      <c r="DP25">
        <v>0.58736601278316869</v>
      </c>
      <c r="DQ25">
        <v>0.58736601278316869</v>
      </c>
      <c r="DR25">
        <v>3.4237382841517694</v>
      </c>
      <c r="DS25">
        <v>0.86761249400037599</v>
      </c>
      <c r="DT25">
        <v>2.4873263598120947</v>
      </c>
      <c r="DU25">
        <v>3.4237382841517694</v>
      </c>
      <c r="DV25">
        <v>21.324554870222574</v>
      </c>
      <c r="DW25">
        <v>12.525318768498533</v>
      </c>
      <c r="DX25">
        <v>18.059055754249705</v>
      </c>
      <c r="DY25">
        <v>15.668262402236429</v>
      </c>
      <c r="DZ25">
        <v>7.6115282889786267</v>
      </c>
      <c r="EA25">
        <v>26.059880803880333</v>
      </c>
      <c r="EB25">
        <v>9.3298736387211072</v>
      </c>
      <c r="EC25">
        <v>13.177318156486134</v>
      </c>
      <c r="ED25">
        <v>24.241409092858959</v>
      </c>
      <c r="EE25">
        <v>38.050055622843018</v>
      </c>
      <c r="EF25">
        <v>64.123202707961724</v>
      </c>
      <c r="EG25">
        <v>257.06690448418834</v>
      </c>
      <c r="EH25">
        <v>14.454170960631535</v>
      </c>
      <c r="EI25">
        <v>12.285235721848478</v>
      </c>
      <c r="EJ25">
        <v>13.9351713771382</v>
      </c>
      <c r="EK25">
        <v>100</v>
      </c>
      <c r="EL25">
        <v>3.0501190578163162</v>
      </c>
      <c r="EM25">
        <v>4.358426590359417</v>
      </c>
      <c r="EN25">
        <v>1.4688303266245786</v>
      </c>
      <c r="EO25">
        <v>3.0501190578163161E-2</v>
      </c>
      <c r="EP25">
        <v>4.3584265903594169E-2</v>
      </c>
      <c r="EQ25">
        <v>1.4688303266245786E-2</v>
      </c>
      <c r="ER25">
        <v>0.44086942311957417</v>
      </c>
      <c r="ES25">
        <v>0.53544298038937777</v>
      </c>
      <c r="ET25">
        <v>0.20468402325451379</v>
      </c>
      <c r="EU25">
        <v>776.01546171621976</v>
      </c>
      <c r="EV25">
        <v>939.0708992209851</v>
      </c>
      <c r="EW25">
        <v>358.3839730522995</v>
      </c>
      <c r="EX25">
        <v>367340</v>
      </c>
      <c r="EY25">
        <v>49130</v>
      </c>
      <c r="EZ25">
        <v>318210</v>
      </c>
      <c r="FA25">
        <v>144.42296171232502</v>
      </c>
      <c r="FB25">
        <v>153.70654218626689</v>
      </c>
      <c r="FC25">
        <v>86.968005180353074</v>
      </c>
      <c r="FD25">
        <v>90.697456687172576</v>
      </c>
      <c r="FE25">
        <v>88.288663637770227</v>
      </c>
      <c r="FF25">
        <v>133.64261569127626</v>
      </c>
      <c r="FG25">
        <v>96.259699371086057</v>
      </c>
      <c r="FH25">
        <v>147.9444315315408</v>
      </c>
      <c r="FI25">
        <v>104.3000999348608</v>
      </c>
      <c r="FJ25">
        <v>68.400833128453868</v>
      </c>
      <c r="FK25">
        <v>103.93290822967651</v>
      </c>
      <c r="FL25">
        <v>150.25579388254056</v>
      </c>
      <c r="FM25">
        <v>87.878616809001002</v>
      </c>
      <c r="FN25">
        <v>91.147541606960019</v>
      </c>
      <c r="FO25">
        <v>89.36756268279315</v>
      </c>
      <c r="FP25">
        <v>133.46507201456456</v>
      </c>
      <c r="FQ25">
        <v>98.427018453929733</v>
      </c>
      <c r="FR25">
        <v>147.83677162272534</v>
      </c>
      <c r="FS25">
        <v>103.69705191953626</v>
      </c>
      <c r="FT25">
        <v>76.656882818418453</v>
      </c>
      <c r="FU25">
        <v>106.30308756974189</v>
      </c>
      <c r="FV25">
        <v>139.65411893393883</v>
      </c>
      <c r="FW25">
        <v>80.716100625436127</v>
      </c>
      <c r="FX25">
        <v>92.83890560698373</v>
      </c>
      <c r="FY25">
        <v>89.766486517885795</v>
      </c>
      <c r="FZ25">
        <v>112.77283352860432</v>
      </c>
      <c r="GA25">
        <v>89.773694409874466</v>
      </c>
      <c r="GB25">
        <v>125.65528744038052</v>
      </c>
      <c r="GC25">
        <v>115.04651554966361</v>
      </c>
      <c r="GD25">
        <v>86.329804461748438</v>
      </c>
      <c r="GE25">
        <v>114.37706950822135</v>
      </c>
      <c r="GF25">
        <v>100</v>
      </c>
      <c r="GG25">
        <v>159.7444089456869</v>
      </c>
      <c r="GH25">
        <v>144.42296171232502</v>
      </c>
      <c r="GI25">
        <v>367340</v>
      </c>
      <c r="GJ25">
        <v>152.34358799963505</v>
      </c>
      <c r="GK25">
        <v>105.4490005727918</v>
      </c>
      <c r="GL25">
        <v>46.946733425547301</v>
      </c>
      <c r="GM25">
        <v>89.674320205111528</v>
      </c>
      <c r="GN25">
        <v>106.56151042122326</v>
      </c>
      <c r="GO25">
        <v>129.96087122429415</v>
      </c>
    </row>
    <row r="26" spans="1:197" x14ac:dyDescent="0.35">
      <c r="A26">
        <v>2016</v>
      </c>
      <c r="B26">
        <v>966139000000</v>
      </c>
      <c r="C26">
        <v>92.9</v>
      </c>
      <c r="D26">
        <v>0.92900000000000005</v>
      </c>
      <c r="E26">
        <v>10399773950.48439</v>
      </c>
      <c r="F26">
        <v>1039977395048.4391</v>
      </c>
      <c r="G26">
        <v>74254000000</v>
      </c>
      <c r="H26">
        <v>17782000000</v>
      </c>
      <c r="I26">
        <v>358297000000</v>
      </c>
      <c r="J26">
        <v>130283000000</v>
      </c>
      <c r="K26">
        <v>95.5</v>
      </c>
      <c r="L26">
        <v>0.95499999999999996</v>
      </c>
      <c r="M26">
        <v>777528795.81151831</v>
      </c>
      <c r="N26">
        <v>3751801047.120419</v>
      </c>
      <c r="O26">
        <v>3751801047.120419</v>
      </c>
      <c r="P26">
        <v>77752879581.15184</v>
      </c>
      <c r="Q26">
        <v>18619895287.958115</v>
      </c>
      <c r="R26">
        <v>375180104712.04187</v>
      </c>
      <c r="S26">
        <v>471552879581.15186</v>
      </c>
      <c r="T26">
        <v>1364219895.2879581</v>
      </c>
      <c r="U26">
        <v>136421989528.79582</v>
      </c>
      <c r="V26">
        <v>1647952264158.3867</v>
      </c>
      <c r="W26">
        <v>1546755000000</v>
      </c>
      <c r="X26">
        <v>88.921925000000002</v>
      </c>
      <c r="Y26">
        <v>0.88921925000000002</v>
      </c>
      <c r="Z26">
        <v>1739452896459.4502</v>
      </c>
      <c r="AA26">
        <v>0.25091165655792336</v>
      </c>
      <c r="AB26">
        <v>0.34170321497123318</v>
      </c>
      <c r="AC26">
        <v>0.59261487152915659</v>
      </c>
      <c r="AD26">
        <v>0.26464409190443267</v>
      </c>
      <c r="AE26">
        <v>0.85725896343358921</v>
      </c>
      <c r="AF26">
        <v>0.14274103656641079</v>
      </c>
      <c r="AG26">
        <v>2218000</v>
      </c>
      <c r="AH26">
        <v>26279000</v>
      </c>
      <c r="AI26">
        <v>28497000</v>
      </c>
      <c r="AJ26">
        <v>0.2018084</v>
      </c>
      <c r="AK26">
        <v>5303322.9435999999</v>
      </c>
      <c r="AL26">
        <v>0.7981916</v>
      </c>
      <c r="AM26">
        <v>20975677.056400001</v>
      </c>
      <c r="AN26">
        <v>0.47225149999999999</v>
      </c>
      <c r="AO26">
        <v>9905794.9534004852</v>
      </c>
      <c r="AP26">
        <v>11069882.102999516</v>
      </c>
      <c r="AQ26">
        <v>506.58468914474372</v>
      </c>
      <c r="AR26">
        <v>0.6856814</v>
      </c>
      <c r="AS26">
        <v>3636389.900619769</v>
      </c>
      <c r="AT26">
        <v>1666933.0429802309</v>
      </c>
      <c r="AU26">
        <v>13542184.854020255</v>
      </c>
      <c r="AV26">
        <v>12736815.145979747</v>
      </c>
      <c r="AW26">
        <v>95791251265.556671</v>
      </c>
      <c r="AX26">
        <v>40630738263.239151</v>
      </c>
      <c r="AY26">
        <v>260942450974.39774</v>
      </c>
      <c r="AZ26">
        <v>355363619385.4599</v>
      </c>
      <c r="BA26">
        <v>275223873313.73157</v>
      </c>
      <c r="BB26">
        <v>891529943673.58923</v>
      </c>
      <c r="BC26">
        <v>1039977395048.4399</v>
      </c>
      <c r="BD26">
        <v>0.85725896343358854</v>
      </c>
      <c r="BE26">
        <v>0.85725896343358898</v>
      </c>
      <c r="BF26">
        <v>9457708.5551843606</v>
      </c>
      <c r="BG26">
        <v>1039977395048.4399</v>
      </c>
      <c r="BH26">
        <v>891529943673.58972</v>
      </c>
      <c r="BI26">
        <v>356733702239.95441</v>
      </c>
      <c r="BJ26">
        <v>36494.276416761058</v>
      </c>
      <c r="BK26">
        <v>31285.045572291459</v>
      </c>
      <c r="BL26">
        <v>26342.403835526675</v>
      </c>
      <c r="BM26">
        <v>701.81300801463578</v>
      </c>
      <c r="BN26">
        <v>601.63549177483571</v>
      </c>
      <c r="BO26">
        <v>506.58468914474372</v>
      </c>
      <c r="BP26">
        <v>607974869109.94763</v>
      </c>
      <c r="BQ26">
        <v>607974869109.94678</v>
      </c>
      <c r="BR26">
        <v>756422320484.79749</v>
      </c>
      <c r="BS26">
        <v>1291218561918.4324</v>
      </c>
      <c r="BT26">
        <v>867547237229.85083</v>
      </c>
      <c r="BU26">
        <v>1142771110543.5825</v>
      </c>
      <c r="BV26">
        <v>37.5</v>
      </c>
      <c r="BW26">
        <v>16.2</v>
      </c>
      <c r="BX26">
        <v>9.6</v>
      </c>
      <c r="BY26">
        <v>19743701.080646478</v>
      </c>
      <c r="BZ26">
        <v>7021004.0796358949</v>
      </c>
      <c r="CA26">
        <v>1132713.6293021205</v>
      </c>
      <c r="CB26">
        <v>27897418.789584495</v>
      </c>
      <c r="CC26">
        <v>28497000</v>
      </c>
      <c r="CD26">
        <v>599581.21041550487</v>
      </c>
      <c r="CE26">
        <v>0.70772501318357783</v>
      </c>
      <c r="CF26">
        <v>0.25167217557264432</v>
      </c>
      <c r="CG26">
        <v>4.0602811243777841E-2</v>
      </c>
      <c r="CH26">
        <v>31.00656422660127</v>
      </c>
      <c r="CI26">
        <v>1016731281.8526386</v>
      </c>
      <c r="CJ26">
        <v>865003107.45564473</v>
      </c>
      <c r="CK26">
        <v>31.53</v>
      </c>
      <c r="CL26">
        <v>30.483128453202539</v>
      </c>
      <c r="CM26">
        <v>32.92</v>
      </c>
      <c r="CN26">
        <v>34.369999999999997</v>
      </c>
      <c r="CO26">
        <v>32.81</v>
      </c>
      <c r="CP26">
        <v>36.229999999999997</v>
      </c>
      <c r="CQ26">
        <v>33.503564465266628</v>
      </c>
      <c r="CR26">
        <v>33.397404849221786</v>
      </c>
      <c r="CS26">
        <v>33.309358542416689</v>
      </c>
      <c r="CT26">
        <v>33.001367862394595</v>
      </c>
      <c r="CU26">
        <v>1742.1853521938647</v>
      </c>
      <c r="CV26">
        <v>1736.6650521595329</v>
      </c>
      <c r="CW26">
        <v>1732.0866442056679</v>
      </c>
      <c r="CX26">
        <v>413379038.00350511</v>
      </c>
      <c r="CY26">
        <v>326098769.86594397</v>
      </c>
      <c r="CZ26">
        <v>600202048.08009422</v>
      </c>
      <c r="DA26">
        <v>124982720.88430145</v>
      </c>
      <c r="DB26">
        <v>954751076.56670308</v>
      </c>
      <c r="DC26">
        <v>1377102417.9082587</v>
      </c>
      <c r="DD26">
        <v>451081490.75024545</v>
      </c>
      <c r="DE26">
        <v>49647055981.468559</v>
      </c>
      <c r="DF26">
        <v>71609325731.229446</v>
      </c>
      <c r="DG26">
        <v>23456237519.012764</v>
      </c>
      <c r="DH26">
        <v>1742.1853521938647</v>
      </c>
      <c r="DI26">
        <v>1736.6650521595327</v>
      </c>
      <c r="DJ26">
        <v>1732.0866442056679</v>
      </c>
      <c r="DK26">
        <v>33.193353192453294</v>
      </c>
      <c r="DL26">
        <v>23.013095673371218</v>
      </c>
      <c r="DM26">
        <v>70.256462180800185</v>
      </c>
      <c r="DN26">
        <v>0.58460392697442098</v>
      </c>
      <c r="DO26">
        <v>3.6195586618555691</v>
      </c>
      <c r="DP26">
        <v>0.58460392697442232</v>
      </c>
      <c r="DQ26">
        <v>0.58460392697442187</v>
      </c>
      <c r="DR26">
        <v>3.2034290659055968</v>
      </c>
      <c r="DS26">
        <v>0.84845419478332418</v>
      </c>
      <c r="DT26">
        <v>2.4319183519316083</v>
      </c>
      <c r="DU26">
        <v>3.2034290659055968</v>
      </c>
      <c r="DV26">
        <v>21.143178995673043</v>
      </c>
      <c r="DW26">
        <v>12.360385469593584</v>
      </c>
      <c r="DX26">
        <v>18.067748145166579</v>
      </c>
      <c r="DY26">
        <v>15.329656704055207</v>
      </c>
      <c r="DZ26">
        <v>7.9243298792864101</v>
      </c>
      <c r="EA26">
        <v>25.385028663130278</v>
      </c>
      <c r="EB26">
        <v>8.9835644652666282</v>
      </c>
      <c r="EC26">
        <v>12.847404849221785</v>
      </c>
      <c r="ED26">
        <v>23.879358542416689</v>
      </c>
      <c r="EE26">
        <v>36.637701734366345</v>
      </c>
      <c r="EF26">
        <v>62.517785154363914</v>
      </c>
      <c r="EG26">
        <v>253.22755612318866</v>
      </c>
      <c r="EH26">
        <v>14.522932375481044</v>
      </c>
      <c r="EI26">
        <v>12.449913954220991</v>
      </c>
      <c r="EJ26">
        <v>15.208479277667578</v>
      </c>
      <c r="EK26">
        <v>100.7</v>
      </c>
      <c r="EL26">
        <v>3.0337399001585275</v>
      </c>
      <c r="EM26">
        <v>4.3757694066566373</v>
      </c>
      <c r="EN26">
        <v>1.4333201085596292</v>
      </c>
      <c r="EO26">
        <v>3.0126513407731158E-2</v>
      </c>
      <c r="EP26">
        <v>4.3453519430552506E-2</v>
      </c>
      <c r="EQ26">
        <v>1.4233566122737131E-2</v>
      </c>
      <c r="ER26">
        <v>0.43752531692950258</v>
      </c>
      <c r="ES26">
        <v>0.54099257791844857</v>
      </c>
      <c r="ET26">
        <v>0.21647089542495893</v>
      </c>
      <c r="EU26">
        <v>762.25019836855768</v>
      </c>
      <c r="EV26">
        <v>939.5229035486625</v>
      </c>
      <c r="EW26">
        <v>374.94634682481319</v>
      </c>
      <c r="EX26">
        <v>386225</v>
      </c>
      <c r="EY26">
        <v>50224</v>
      </c>
      <c r="EZ26">
        <v>336001</v>
      </c>
      <c r="FA26">
        <v>152.49759453915001</v>
      </c>
      <c r="FB26">
        <v>155.61815842687903</v>
      </c>
      <c r="FC26">
        <v>86.228299329824807</v>
      </c>
      <c r="FD26">
        <v>89.503153291771071</v>
      </c>
      <c r="FE26">
        <v>87.385405491044935</v>
      </c>
      <c r="FF26">
        <v>134.15386772868885</v>
      </c>
      <c r="FG26">
        <v>95.529545181114088</v>
      </c>
      <c r="FH26">
        <v>148.64823311648971</v>
      </c>
      <c r="FI26">
        <v>103.80962922390515</v>
      </c>
      <c r="FJ26">
        <v>65.861909569403437</v>
      </c>
      <c r="FK26">
        <v>103.37478788832001</v>
      </c>
      <c r="FL26">
        <v>150.70789569987701</v>
      </c>
      <c r="FM26">
        <v>87.920915548255849</v>
      </c>
      <c r="FN26">
        <v>89.177758604160601</v>
      </c>
      <c r="FO26">
        <v>88.493388577694191</v>
      </c>
      <c r="FP26">
        <v>135.12869546766643</v>
      </c>
      <c r="FQ26">
        <v>99.447165058538332</v>
      </c>
      <c r="FR26">
        <v>149.81845913623332</v>
      </c>
      <c r="FS26">
        <v>101.40725185056702</v>
      </c>
      <c r="FT26">
        <v>74.737666371272738</v>
      </c>
      <c r="FU26">
        <v>106.72608308918628</v>
      </c>
      <c r="FV26">
        <v>144.11581985805165</v>
      </c>
      <c r="FW26">
        <v>84.03319066051337</v>
      </c>
      <c r="FX26">
        <v>90.434729829463052</v>
      </c>
      <c r="FY26">
        <v>88.801275772905058</v>
      </c>
      <c r="FZ26">
        <v>121.75391838529784</v>
      </c>
      <c r="GA26">
        <v>94.943375186385495</v>
      </c>
      <c r="GB26">
        <v>137.13687355876988</v>
      </c>
      <c r="GC26">
        <v>107.64355253113607</v>
      </c>
      <c r="GD26">
        <v>85.040450649632092</v>
      </c>
      <c r="GE26">
        <v>111.61190691166712</v>
      </c>
      <c r="GF26">
        <v>100.7</v>
      </c>
      <c r="GG26">
        <v>160.8626198083067</v>
      </c>
      <c r="GH26">
        <v>152.49759453915001</v>
      </c>
      <c r="GI26">
        <v>386225</v>
      </c>
      <c r="GJ26">
        <v>160.17559284357557</v>
      </c>
      <c r="GK26">
        <v>111.75157728456129</v>
      </c>
      <c r="GL26">
        <v>45.840327592377449</v>
      </c>
      <c r="GM26">
        <v>94.052882036967475</v>
      </c>
      <c r="GN26">
        <v>110.43133221992703</v>
      </c>
      <c r="GO26">
        <v>136.18467139343542</v>
      </c>
    </row>
    <row r="27" spans="1:197" x14ac:dyDescent="0.35">
      <c r="A27">
        <v>2017</v>
      </c>
      <c r="B27">
        <v>1006539000000</v>
      </c>
      <c r="C27">
        <v>94.8</v>
      </c>
      <c r="D27">
        <v>0.94799999999999995</v>
      </c>
      <c r="E27">
        <v>10617500000</v>
      </c>
      <c r="F27">
        <v>1061750000000</v>
      </c>
      <c r="G27">
        <v>81151000000</v>
      </c>
      <c r="H27">
        <v>16754000000</v>
      </c>
      <c r="I27">
        <v>369498000000</v>
      </c>
      <c r="J27">
        <v>141361000000</v>
      </c>
      <c r="K27">
        <v>97.1</v>
      </c>
      <c r="L27">
        <v>0.97099999999999997</v>
      </c>
      <c r="M27">
        <v>835746652.93511844</v>
      </c>
      <c r="N27">
        <v>3805334706.4881568</v>
      </c>
      <c r="O27">
        <v>3805334706.4881568</v>
      </c>
      <c r="P27">
        <v>83574665293.511841</v>
      </c>
      <c r="Q27">
        <v>17254376930.99897</v>
      </c>
      <c r="R27">
        <v>380533470648.81567</v>
      </c>
      <c r="S27">
        <v>481362512873.32648</v>
      </c>
      <c r="T27">
        <v>1455829042.2245109</v>
      </c>
      <c r="U27">
        <v>145582904222.45108</v>
      </c>
      <c r="V27">
        <v>1688695417095.7776</v>
      </c>
      <c r="W27">
        <v>1615303000000</v>
      </c>
      <c r="X27">
        <v>90.541124999999994</v>
      </c>
      <c r="Y27">
        <v>0.90541124999999989</v>
      </c>
      <c r="Z27">
        <v>1784054483528.8938</v>
      </c>
      <c r="AA27">
        <v>0.25606935299859374</v>
      </c>
      <c r="AB27">
        <v>0.34478546227266532</v>
      </c>
      <c r="AC27">
        <v>0.60085481527125906</v>
      </c>
      <c r="AD27">
        <v>0.26818781529437646</v>
      </c>
      <c r="AE27">
        <v>0.86904263056563558</v>
      </c>
      <c r="AF27">
        <v>0.13095736943436453</v>
      </c>
      <c r="AG27">
        <v>2127000</v>
      </c>
      <c r="AH27">
        <v>26640000</v>
      </c>
      <c r="AI27">
        <v>28767000</v>
      </c>
      <c r="AJ27">
        <v>0.17949219999999999</v>
      </c>
      <c r="AK27">
        <v>4781672.2079999996</v>
      </c>
      <c r="AL27">
        <v>0.82050780000000001</v>
      </c>
      <c r="AM27">
        <v>21858327.791999999</v>
      </c>
      <c r="AN27">
        <v>0.51347233360064104</v>
      </c>
      <c r="AO27">
        <v>11223646.579965986</v>
      </c>
      <c r="AP27">
        <v>10634681.212034013</v>
      </c>
      <c r="AQ27">
        <v>465.8461894734765</v>
      </c>
      <c r="AR27">
        <v>0.69821420000000001</v>
      </c>
      <c r="AS27">
        <v>3338631.4353709533</v>
      </c>
      <c r="AT27">
        <v>1443040.7726290463</v>
      </c>
      <c r="AU27">
        <v>14562278.01533694</v>
      </c>
      <c r="AV27">
        <v>12077721.98466306</v>
      </c>
      <c r="AW27">
        <v>80875014075.643951</v>
      </c>
      <c r="AX27">
        <v>64707890146.807129</v>
      </c>
      <c r="AY27">
        <v>271881635546.2569</v>
      </c>
      <c r="AZ27">
        <v>366075964568.00238</v>
      </c>
      <c r="BA27">
        <v>284748412888.8042</v>
      </c>
      <c r="BB27">
        <v>922706013003.06348</v>
      </c>
      <c r="BC27">
        <v>1061750000000</v>
      </c>
      <c r="BD27">
        <v>0.86904263056563547</v>
      </c>
      <c r="BE27">
        <v>0.86904263056563558</v>
      </c>
      <c r="BF27">
        <v>8877379.0655804984</v>
      </c>
      <c r="BG27">
        <v>1061750000000</v>
      </c>
      <c r="BH27">
        <v>922706013003.0636</v>
      </c>
      <c r="BI27">
        <v>352756649621.90088</v>
      </c>
      <c r="BJ27">
        <v>36908.610560711924</v>
      </c>
      <c r="BK27">
        <v>32075.15601220369</v>
      </c>
      <c r="BL27">
        <v>24224.001852620779</v>
      </c>
      <c r="BM27">
        <v>709.78097232138316</v>
      </c>
      <c r="BN27">
        <v>616.82992331160938</v>
      </c>
      <c r="BO27">
        <v>465.8461894734765</v>
      </c>
      <c r="BP27">
        <v>626945417095.77759</v>
      </c>
      <c r="BQ27">
        <v>626945417095.77759</v>
      </c>
      <c r="BR27">
        <v>765989404092.71411</v>
      </c>
      <c r="BS27">
        <v>1335938767473.8767</v>
      </c>
      <c r="BT27">
        <v>912146367588.13599</v>
      </c>
      <c r="BU27">
        <v>1196894780476.9402</v>
      </c>
      <c r="BV27">
        <v>37.4</v>
      </c>
      <c r="BW27">
        <v>16.2</v>
      </c>
      <c r="BX27">
        <v>9.6</v>
      </c>
      <c r="BY27">
        <v>20045306.407964516</v>
      </c>
      <c r="BZ27">
        <v>6990755.6786228875</v>
      </c>
      <c r="CA27">
        <v>1122628.4629925399</v>
      </c>
      <c r="CB27">
        <v>28158690.549579944</v>
      </c>
      <c r="CC27">
        <v>28767000</v>
      </c>
      <c r="CD27">
        <v>608309.45042005554</v>
      </c>
      <c r="CE27">
        <v>0.71186926723989807</v>
      </c>
      <c r="CF27">
        <v>0.24826281130914207</v>
      </c>
      <c r="CG27">
        <v>3.9867921450959895E-2</v>
      </c>
      <c r="CH27">
        <v>31.0285001839095</v>
      </c>
      <c r="CI27">
        <v>1029005475.7956144</v>
      </c>
      <c r="CJ27">
        <v>873721934.89629197</v>
      </c>
      <c r="CK27">
        <v>31.69</v>
      </c>
      <c r="CL27">
        <v>30.367000367818999</v>
      </c>
      <c r="CM27">
        <v>33.020000000000003</v>
      </c>
      <c r="CN27">
        <v>34.25</v>
      </c>
      <c r="CO27">
        <v>32.979999999999997</v>
      </c>
      <c r="CP27">
        <v>35.43</v>
      </c>
      <c r="CQ27">
        <v>33.48252563778891</v>
      </c>
      <c r="CR27">
        <v>33.389179377946363</v>
      </c>
      <c r="CS27">
        <v>33.301996859363712</v>
      </c>
      <c r="CT27">
        <v>33.035729347874309</v>
      </c>
      <c r="CU27">
        <v>1741.0913331650233</v>
      </c>
      <c r="CV27">
        <v>1736.2373276532107</v>
      </c>
      <c r="CW27">
        <v>1731.7038366869131</v>
      </c>
      <c r="CX27">
        <v>455534783.65060705</v>
      </c>
      <c r="CY27">
        <v>370604810.07047689</v>
      </c>
      <c r="CZ27">
        <v>619431337.82580221</v>
      </c>
      <c r="DA27">
        <v>114348126.66145515</v>
      </c>
      <c r="DB27">
        <v>963191815.02227354</v>
      </c>
      <c r="DC27">
        <v>1363771748.9882643</v>
      </c>
      <c r="DD27">
        <v>484952936.73193204</v>
      </c>
      <c r="DE27">
        <v>50085974381.158226</v>
      </c>
      <c r="DF27">
        <v>70916130947.38974</v>
      </c>
      <c r="DG27">
        <v>25217552710.060467</v>
      </c>
      <c r="DH27">
        <v>1741.0913331650233</v>
      </c>
      <c r="DI27">
        <v>1736.2373276532107</v>
      </c>
      <c r="DJ27">
        <v>1731.7038366869133</v>
      </c>
      <c r="DK27">
        <v>33.715934210337444</v>
      </c>
      <c r="DL27">
        <v>23.812571195523386</v>
      </c>
      <c r="DM27">
        <v>66.965079304546379</v>
      </c>
      <c r="DN27">
        <v>0.59048308650414649</v>
      </c>
      <c r="DO27">
        <v>3.7871398566286163</v>
      </c>
      <c r="DP27">
        <v>0.59048308650414649</v>
      </c>
      <c r="DQ27">
        <v>0.59048308650414649</v>
      </c>
      <c r="DR27">
        <v>3.3929758142329036</v>
      </c>
      <c r="DS27">
        <v>0.8301554268620237</v>
      </c>
      <c r="DT27">
        <v>2.5857666143666238</v>
      </c>
      <c r="DU27">
        <v>3.3929758142329036</v>
      </c>
      <c r="DV27">
        <v>21.051796100128865</v>
      </c>
      <c r="DW27">
        <v>12.430729537660046</v>
      </c>
      <c r="DX27">
        <v>18.243903707782515</v>
      </c>
      <c r="DY27">
        <v>15.145275670163848</v>
      </c>
      <c r="DZ27">
        <v>7.5807375837280526</v>
      </c>
      <c r="EA27">
        <v>25.72125927563566</v>
      </c>
      <c r="EB27">
        <v>8.9625256377889109</v>
      </c>
      <c r="EC27">
        <v>12.839179377946362</v>
      </c>
      <c r="ED27">
        <v>23.871996859363712</v>
      </c>
      <c r="EE27">
        <v>36.551899012189686</v>
      </c>
      <c r="EF27">
        <v>62.477758530152606</v>
      </c>
      <c r="EG27">
        <v>253.14948949484318</v>
      </c>
      <c r="EH27">
        <v>14.971910985776651</v>
      </c>
      <c r="EI27">
        <v>13.01122890767388</v>
      </c>
      <c r="EJ27">
        <v>13.988536226244099</v>
      </c>
      <c r="EK27">
        <v>103.4</v>
      </c>
      <c r="EL27">
        <v>3.0667991981161578</v>
      </c>
      <c r="EM27">
        <v>4.3422442352398534</v>
      </c>
      <c r="EN27">
        <v>1.544088367755879</v>
      </c>
      <c r="EO27">
        <v>2.965956671292222E-2</v>
      </c>
      <c r="EP27">
        <v>4.1994625099031464E-2</v>
      </c>
      <c r="EQ27">
        <v>1.4933156361275424E-2</v>
      </c>
      <c r="ER27">
        <v>0.44406039270257569</v>
      </c>
      <c r="ES27">
        <v>0.5464016800554452</v>
      </c>
      <c r="ET27">
        <v>0.20889299873186878</v>
      </c>
      <c r="EU27">
        <v>773.14970113631136</v>
      </c>
      <c r="EV27">
        <v>948.6829928046908</v>
      </c>
      <c r="EW27">
        <v>361.74080736101166</v>
      </c>
      <c r="EX27">
        <v>399752</v>
      </c>
      <c r="EY27">
        <v>51465</v>
      </c>
      <c r="EZ27">
        <v>348287</v>
      </c>
      <c r="FA27">
        <v>158.0737251057495</v>
      </c>
      <c r="FB27">
        <v>158.06813975779394</v>
      </c>
      <c r="FC27">
        <v>85.855612153869771</v>
      </c>
      <c r="FD27">
        <v>90.012523806372528</v>
      </c>
      <c r="FE27">
        <v>87.330531136642946</v>
      </c>
      <c r="FF27">
        <v>135.67697034643348</v>
      </c>
      <c r="FG27">
        <v>96.956417620649717</v>
      </c>
      <c r="FH27">
        <v>153.24371530989407</v>
      </c>
      <c r="FI27">
        <v>104.8536067662517</v>
      </c>
      <c r="FJ27">
        <v>65.707665966194355</v>
      </c>
      <c r="FK27">
        <v>104.50128456456054</v>
      </c>
      <c r="FL27">
        <v>155.94349178469801</v>
      </c>
      <c r="FM27">
        <v>88.778120232518319</v>
      </c>
      <c r="FN27">
        <v>88.105152240627376</v>
      </c>
      <c r="FO27">
        <v>88.471593476275473</v>
      </c>
      <c r="FP27">
        <v>138.54139923931396</v>
      </c>
      <c r="FQ27">
        <v>100.44148530430977</v>
      </c>
      <c r="FR27">
        <v>156.57315171689385</v>
      </c>
      <c r="FS27">
        <v>99.220182968640785</v>
      </c>
      <c r="FT27">
        <v>74.689816043899711</v>
      </c>
      <c r="FU27">
        <v>105.90839598145985</v>
      </c>
      <c r="FV27">
        <v>137.36426524009514</v>
      </c>
      <c r="FW27">
        <v>80.389582011962375</v>
      </c>
      <c r="FX27">
        <v>91.632558872944998</v>
      </c>
      <c r="FY27">
        <v>88.781649851676121</v>
      </c>
      <c r="FZ27">
        <v>111.96271847262591</v>
      </c>
      <c r="GA27">
        <v>91.619736285907365</v>
      </c>
      <c r="GB27">
        <v>126.1364853583778</v>
      </c>
      <c r="GC27">
        <v>114.01281651073614</v>
      </c>
      <c r="GD27">
        <v>85.014233829642848</v>
      </c>
      <c r="GE27">
        <v>120.23737484471881</v>
      </c>
      <c r="GF27">
        <v>103.4</v>
      </c>
      <c r="GG27">
        <v>165.17571884984025</v>
      </c>
      <c r="GH27">
        <v>158.0737251057495</v>
      </c>
      <c r="GI27">
        <v>399752</v>
      </c>
      <c r="GJ27">
        <v>165.78552292162604</v>
      </c>
      <c r="GK27">
        <v>94.75245978447623</v>
      </c>
      <c r="GL27">
        <v>43.222523976166627</v>
      </c>
      <c r="GM27">
        <v>82.938410954267212</v>
      </c>
      <c r="GN27">
        <v>97.544642189241941</v>
      </c>
      <c r="GO27">
        <v>134.64534440970718</v>
      </c>
    </row>
    <row r="28" spans="1:197" x14ac:dyDescent="0.35">
      <c r="A28">
        <v>2018</v>
      </c>
      <c r="B28">
        <v>1047477000000</v>
      </c>
      <c r="C28">
        <v>97.1</v>
      </c>
      <c r="D28">
        <v>0.97099999999999997</v>
      </c>
      <c r="E28">
        <v>10787610710.607622</v>
      </c>
      <c r="F28">
        <v>1078761071060.7621</v>
      </c>
      <c r="G28">
        <v>84595000000</v>
      </c>
      <c r="H28">
        <v>11012000000</v>
      </c>
      <c r="I28">
        <v>382670000000</v>
      </c>
      <c r="J28">
        <v>146251000000</v>
      </c>
      <c r="K28">
        <v>98.8</v>
      </c>
      <c r="L28">
        <v>0.98799999999999999</v>
      </c>
      <c r="M28">
        <v>856224696.35627532</v>
      </c>
      <c r="N28">
        <v>3873178137.6518221</v>
      </c>
      <c r="O28">
        <v>3873178137.6518221</v>
      </c>
      <c r="P28">
        <v>85622469635.627533</v>
      </c>
      <c r="Q28">
        <v>11145748987.854252</v>
      </c>
      <c r="R28">
        <v>387317813765.18219</v>
      </c>
      <c r="S28">
        <v>484086032388.66394</v>
      </c>
      <c r="T28">
        <v>1480273279.3522267</v>
      </c>
      <c r="U28">
        <v>148027327935.22269</v>
      </c>
      <c r="V28">
        <v>1710874431384.6487</v>
      </c>
      <c r="W28">
        <v>1672005000000</v>
      </c>
      <c r="X28">
        <v>92.350874999999988</v>
      </c>
      <c r="Y28">
        <v>0.92350874999999988</v>
      </c>
      <c r="Z28">
        <v>1810491779314.4897</v>
      </c>
      <c r="AA28">
        <v>0.25600000000000001</v>
      </c>
      <c r="AB28">
        <v>0.34399999999999997</v>
      </c>
      <c r="AC28">
        <v>0.6</v>
      </c>
      <c r="AD28">
        <v>0.27850824884522601</v>
      </c>
      <c r="AE28">
        <v>0.87850824884522605</v>
      </c>
      <c r="AF28">
        <v>0.12149175115477406</v>
      </c>
      <c r="AG28">
        <v>2061000</v>
      </c>
      <c r="AH28">
        <v>27048000</v>
      </c>
      <c r="AI28">
        <v>29109000</v>
      </c>
      <c r="AJ28">
        <v>0.1879374</v>
      </c>
      <c r="AK28">
        <v>5083330.7952000005</v>
      </c>
      <c r="AL28">
        <v>0.81206259999999997</v>
      </c>
      <c r="AM28">
        <v>21964669.204799999</v>
      </c>
      <c r="AN28">
        <v>0.48072009999999998</v>
      </c>
      <c r="AO28">
        <v>10558857.976598375</v>
      </c>
      <c r="AP28">
        <v>11405811.228201624</v>
      </c>
      <c r="AQ28">
        <v>502.97330887709404</v>
      </c>
      <c r="AR28">
        <v>0.7097118</v>
      </c>
      <c r="AS28">
        <v>3607699.8486568239</v>
      </c>
      <c r="AT28">
        <v>1475630.9465431767</v>
      </c>
      <c r="AU28">
        <v>14166557.825255198</v>
      </c>
      <c r="AV28">
        <v>12881442.1747448</v>
      </c>
      <c r="AW28">
        <v>94357989976.34433</v>
      </c>
      <c r="AX28">
        <v>53669337958.878357</v>
      </c>
      <c r="AY28">
        <v>276162834191.55511</v>
      </c>
      <c r="AZ28">
        <v>371093808444.9021</v>
      </c>
      <c r="BA28">
        <v>300443856823.53326</v>
      </c>
      <c r="BB28">
        <v>947700499459.99048</v>
      </c>
      <c r="BC28">
        <v>1078761071060.7621</v>
      </c>
      <c r="BD28">
        <v>0.87850824884522594</v>
      </c>
      <c r="BE28">
        <v>0.87850824884522605</v>
      </c>
      <c r="BF28">
        <v>8113399.7976130499</v>
      </c>
      <c r="BG28">
        <v>1078761071060.7621</v>
      </c>
      <c r="BH28">
        <v>947700499459.9906</v>
      </c>
      <c r="BI28">
        <v>370520824167.89941</v>
      </c>
      <c r="BJ28">
        <v>37059.365524777975</v>
      </c>
      <c r="BK28">
        <v>32556.958310487844</v>
      </c>
      <c r="BL28">
        <v>26154.612061608888</v>
      </c>
      <c r="BM28">
        <v>712.68010624573026</v>
      </c>
      <c r="BN28">
        <v>626.09535212476624</v>
      </c>
      <c r="BO28">
        <v>502.97330887709398</v>
      </c>
      <c r="BP28">
        <v>632113360323.8866</v>
      </c>
      <c r="BQ28">
        <v>632113360323.8866</v>
      </c>
      <c r="BR28">
        <v>763173931924.6582</v>
      </c>
      <c r="BS28">
        <v>1340353607216.7493</v>
      </c>
      <c r="BT28">
        <v>908849178792.44434</v>
      </c>
      <c r="BU28">
        <v>1209293035615.9775</v>
      </c>
      <c r="BV28">
        <v>37.1</v>
      </c>
      <c r="BW28">
        <v>16.3</v>
      </c>
      <c r="BX28">
        <v>9.9</v>
      </c>
      <c r="BY28">
        <v>20466470.231227372</v>
      </c>
      <c r="BZ28">
        <v>6988379.7213670462</v>
      </c>
      <c r="CA28">
        <v>1125903.2220019554</v>
      </c>
      <c r="CB28">
        <v>28580753.174596373</v>
      </c>
      <c r="CC28">
        <v>29109000</v>
      </c>
      <c r="CD28">
        <v>528246.82540362701</v>
      </c>
      <c r="CE28">
        <v>0.71609275326651378</v>
      </c>
      <c r="CF28">
        <v>0.24451349055344615</v>
      </c>
      <c r="CG28">
        <v>3.9393756180040061E-2</v>
      </c>
      <c r="CH28">
        <v>30.942609228391234</v>
      </c>
      <c r="CI28">
        <v>1036649852.6877192</v>
      </c>
      <c r="CJ28">
        <v>884363076.93463778</v>
      </c>
      <c r="CK28">
        <v>31.13</v>
      </c>
      <c r="CL28">
        <v>30.755218456782469</v>
      </c>
      <c r="CM28">
        <v>32.65</v>
      </c>
      <c r="CN28">
        <v>33.799999999999997</v>
      </c>
      <c r="CO28">
        <v>33.049999999999997</v>
      </c>
      <c r="CP28">
        <v>35.57</v>
      </c>
      <c r="CQ28">
        <v>33.243166948150446</v>
      </c>
      <c r="CR28">
        <v>33.139447223980511</v>
      </c>
      <c r="CS28">
        <v>32.94286259069645</v>
      </c>
      <c r="CT28">
        <v>33.034036745003149</v>
      </c>
      <c r="CU28">
        <v>1728.6446813038233</v>
      </c>
      <c r="CV28">
        <v>1723.2512556469865</v>
      </c>
      <c r="CW28">
        <v>1713.0288547162154</v>
      </c>
      <c r="CX28">
        <v>428340139.58746463</v>
      </c>
      <c r="CY28">
        <v>344746712.93593693</v>
      </c>
      <c r="CZ28">
        <v>632380571.31139469</v>
      </c>
      <c r="DA28">
        <v>121940254.88460064</v>
      </c>
      <c r="DB28">
        <v>967675346.69371128</v>
      </c>
      <c r="DC28">
        <v>1391540042.3615608</v>
      </c>
      <c r="DD28">
        <v>466686967.82053757</v>
      </c>
      <c r="DE28">
        <v>50319118028.072983</v>
      </c>
      <c r="DF28">
        <v>72360082202.801163</v>
      </c>
      <c r="DG28">
        <v>24267722326.667953</v>
      </c>
      <c r="DH28">
        <v>1728.6446813038231</v>
      </c>
      <c r="DI28">
        <v>1723.2512556469867</v>
      </c>
      <c r="DJ28">
        <v>1713.0288547162156</v>
      </c>
      <c r="DK28">
        <v>34.000485271426136</v>
      </c>
      <c r="DL28">
        <v>23.643898394001802</v>
      </c>
      <c r="DM28">
        <v>70.500000303059267</v>
      </c>
      <c r="DN28">
        <v>0.58596233891006089</v>
      </c>
      <c r="DO28">
        <v>3.6174852256330285</v>
      </c>
      <c r="DP28">
        <v>0.58596233891006089</v>
      </c>
      <c r="DQ28">
        <v>0.58596233891006089</v>
      </c>
      <c r="DR28">
        <v>3.2637653722479936</v>
      </c>
      <c r="DS28">
        <v>0.80529020757034797</v>
      </c>
      <c r="DT28">
        <v>2.4528963542966871</v>
      </c>
      <c r="DU28">
        <v>3.2637653722479936</v>
      </c>
      <c r="DV28">
        <v>20.960880427335074</v>
      </c>
      <c r="DW28">
        <v>12.282286520815372</v>
      </c>
      <c r="DX28">
        <v>18.356853144725843</v>
      </c>
      <c r="DY28">
        <v>14.782594079254668</v>
      </c>
      <c r="DZ28">
        <v>7.7262371905159313</v>
      </c>
      <c r="EA28">
        <v>25.216625400180519</v>
      </c>
      <c r="EB28">
        <v>8.7231669481504461</v>
      </c>
      <c r="EC28">
        <v>12.58944722398051</v>
      </c>
      <c r="ED28">
        <v>23.51286259069645</v>
      </c>
      <c r="EE28">
        <v>35.575721648248148</v>
      </c>
      <c r="EF28">
        <v>61.26251690501465</v>
      </c>
      <c r="EG28">
        <v>249.34106670940031</v>
      </c>
      <c r="EH28">
        <v>14.908234460504824</v>
      </c>
      <c r="EI28">
        <v>13.097006949272146</v>
      </c>
      <c r="EJ28">
        <v>15.268051083670581</v>
      </c>
      <c r="EK28">
        <v>105.9</v>
      </c>
      <c r="EL28">
        <v>3.1146614277590303</v>
      </c>
      <c r="EM28">
        <v>4.4789568215563671</v>
      </c>
      <c r="EN28">
        <v>1.5021276531172525</v>
      </c>
      <c r="EO28">
        <v>2.9411344926903022E-2</v>
      </c>
      <c r="EP28">
        <v>4.229420983528203E-2</v>
      </c>
      <c r="EQ28">
        <v>1.4184397102145915E-2</v>
      </c>
      <c r="ER28">
        <v>0.43847122596904936</v>
      </c>
      <c r="ES28">
        <v>0.55392756012666311</v>
      </c>
      <c r="ET28">
        <v>0.21656809954663278</v>
      </c>
      <c r="EU28">
        <v>757.96095267616397</v>
      </c>
      <c r="EV28">
        <v>954.5563635257439</v>
      </c>
      <c r="EW28">
        <v>370.98740353443571</v>
      </c>
      <c r="EX28">
        <v>397838</v>
      </c>
      <c r="EY28">
        <v>51749</v>
      </c>
      <c r="EZ28">
        <v>346089</v>
      </c>
      <c r="FA28">
        <v>157.07613964381025</v>
      </c>
      <c r="FB28">
        <v>159.40218130063826</v>
      </c>
      <c r="FC28">
        <v>85.484830454058212</v>
      </c>
      <c r="FD28">
        <v>88.937628680777493</v>
      </c>
      <c r="FE28">
        <v>86.706225738524893</v>
      </c>
      <c r="FF28">
        <v>136.23114934364935</v>
      </c>
      <c r="FG28">
        <v>95.736075539093747</v>
      </c>
      <c r="FH28">
        <v>152.59195967763381</v>
      </c>
      <c r="FI28">
        <v>104.05084593981371</v>
      </c>
      <c r="FJ28">
        <v>63.952836863273063</v>
      </c>
      <c r="FK28">
        <v>106.1321916297758</v>
      </c>
      <c r="FL28">
        <v>154.83888928619388</v>
      </c>
      <c r="FM28">
        <v>89.327752529079532</v>
      </c>
      <c r="FN28">
        <v>85.995311688508821</v>
      </c>
      <c r="FO28">
        <v>87.809876057182052</v>
      </c>
      <c r="FP28">
        <v>140.62243555712979</v>
      </c>
      <c r="FQ28">
        <v>101.8249191409307</v>
      </c>
      <c r="FR28">
        <v>157.60537845092836</v>
      </c>
      <c r="FS28">
        <v>96.248291768698664</v>
      </c>
      <c r="FT28">
        <v>73.23704027911873</v>
      </c>
      <c r="FU28">
        <v>109.24284930625288</v>
      </c>
      <c r="FV28">
        <v>144.61538523704465</v>
      </c>
      <c r="FW28">
        <v>81.932525880338616</v>
      </c>
      <c r="FX28">
        <v>89.834789455577194</v>
      </c>
      <c r="FY28">
        <v>87.824213784847913</v>
      </c>
      <c r="FZ28">
        <v>120.88594959787152</v>
      </c>
      <c r="GA28">
        <v>94.986008573084547</v>
      </c>
      <c r="GB28">
        <v>137.67404042985197</v>
      </c>
      <c r="GC28">
        <v>109.67100943050288</v>
      </c>
      <c r="GD28">
        <v>83.735265636383374</v>
      </c>
      <c r="GE28">
        <v>116.96991536499397</v>
      </c>
      <c r="GF28">
        <v>105.9</v>
      </c>
      <c r="GG28">
        <v>169.16932907348243</v>
      </c>
      <c r="GH28">
        <v>157.07613964381025</v>
      </c>
      <c r="GI28">
        <v>397838</v>
      </c>
      <c r="GJ28">
        <v>164.99174705340775</v>
      </c>
      <c r="GK28">
        <v>108.02125810840863</v>
      </c>
      <c r="GL28">
        <v>40.9022648348245</v>
      </c>
      <c r="GM28">
        <v>90.928525712721978</v>
      </c>
      <c r="GN28">
        <v>105.47687278067228</v>
      </c>
      <c r="GO28">
        <v>134.37499999999997</v>
      </c>
    </row>
    <row r="29" spans="1:197" x14ac:dyDescent="0.35">
      <c r="A29">
        <v>2019</v>
      </c>
      <c r="B29">
        <v>1097245000000</v>
      </c>
      <c r="C29">
        <v>100</v>
      </c>
      <c r="D29">
        <v>1</v>
      </c>
      <c r="E29">
        <v>10972450000</v>
      </c>
      <c r="F29">
        <v>1097245000000</v>
      </c>
      <c r="G29">
        <v>81541000000</v>
      </c>
      <c r="H29">
        <v>11383000000</v>
      </c>
      <c r="I29">
        <v>401012000000</v>
      </c>
      <c r="J29">
        <v>151778000000</v>
      </c>
      <c r="K29">
        <v>100</v>
      </c>
      <c r="L29">
        <v>1</v>
      </c>
      <c r="M29">
        <v>815410000</v>
      </c>
      <c r="N29">
        <v>4010120000</v>
      </c>
      <c r="O29">
        <v>4010120000</v>
      </c>
      <c r="P29">
        <v>81541000000</v>
      </c>
      <c r="Q29">
        <v>11383000000</v>
      </c>
      <c r="R29">
        <v>401012000000</v>
      </c>
      <c r="S29">
        <v>493936000000</v>
      </c>
      <c r="T29">
        <v>1517780000</v>
      </c>
      <c r="U29">
        <v>151778000000</v>
      </c>
      <c r="V29">
        <v>1742959000000</v>
      </c>
      <c r="W29">
        <v>1742959000000</v>
      </c>
      <c r="X29">
        <v>94.212975</v>
      </c>
      <c r="Y29">
        <v>0.94212974999999999</v>
      </c>
      <c r="Z29">
        <v>1850020127270.1558</v>
      </c>
      <c r="AA29">
        <v>0.26700000000000002</v>
      </c>
      <c r="AB29">
        <v>0.34300000000000003</v>
      </c>
      <c r="AC29">
        <v>0.6100000000000001</v>
      </c>
      <c r="AD29">
        <v>0.27426446956032702</v>
      </c>
      <c r="AE29">
        <v>0.88426446956032712</v>
      </c>
      <c r="AF29">
        <v>0.11573553043967288</v>
      </c>
      <c r="AG29">
        <v>2023000</v>
      </c>
      <c r="AH29">
        <v>27374000</v>
      </c>
      <c r="AI29">
        <v>29397000</v>
      </c>
      <c r="AJ29">
        <v>0.18002562999999999</v>
      </c>
      <c r="AK29">
        <v>4928021.5956199998</v>
      </c>
      <c r="AL29">
        <v>0.81997436999999995</v>
      </c>
      <c r="AM29">
        <v>22445978.404379997</v>
      </c>
      <c r="AN29">
        <v>0.48517981999999998</v>
      </c>
      <c r="AO29">
        <v>10890335.761960974</v>
      </c>
      <c r="AP29">
        <v>11555642.642419025</v>
      </c>
      <c r="AQ29">
        <v>517.33309062620037</v>
      </c>
      <c r="AR29">
        <v>0.71150442000000003</v>
      </c>
      <c r="AS29">
        <v>3506309.1471390827</v>
      </c>
      <c r="AT29">
        <v>1421712.4484809171</v>
      </c>
      <c r="AU29">
        <v>14396644.909100056</v>
      </c>
      <c r="AV29">
        <v>12977355.090899942</v>
      </c>
      <c r="AW29">
        <v>94324346884.579681</v>
      </c>
      <c r="AX29">
        <v>57453653115.420319</v>
      </c>
      <c r="AY29">
        <v>292964415000</v>
      </c>
      <c r="AZ29">
        <v>376355035000</v>
      </c>
      <c r="BA29">
        <v>300935317902.72101</v>
      </c>
      <c r="BB29">
        <v>970254767902.72095</v>
      </c>
      <c r="BC29">
        <v>1097245000000</v>
      </c>
      <c r="BD29">
        <v>0.884264469560327</v>
      </c>
      <c r="BE29">
        <v>0.884264469560327</v>
      </c>
      <c r="BF29">
        <v>7483857.9900000002</v>
      </c>
      <c r="BG29">
        <v>1097245000000</v>
      </c>
      <c r="BH29">
        <v>970254767902.72095</v>
      </c>
      <c r="BI29">
        <v>387288761884.57971</v>
      </c>
      <c r="BJ29">
        <v>37325.067183726227</v>
      </c>
      <c r="BK29">
        <v>33005.230734521239</v>
      </c>
      <c r="BL29">
        <v>26901.320712562425</v>
      </c>
      <c r="BM29">
        <v>717.78975353319663</v>
      </c>
      <c r="BN29">
        <v>634.71597566387004</v>
      </c>
      <c r="BO29">
        <v>517.33309062620049</v>
      </c>
      <c r="BP29">
        <v>645714000000</v>
      </c>
      <c r="BQ29">
        <v>645714000000</v>
      </c>
      <c r="BR29">
        <v>772704232097.27905</v>
      </c>
      <c r="BS29">
        <v>1355670238115.4204</v>
      </c>
      <c r="BT29">
        <v>927744688115.42029</v>
      </c>
      <c r="BU29">
        <v>1228680006018.1414</v>
      </c>
      <c r="BV29">
        <v>37.200000000000003</v>
      </c>
      <c r="BW29">
        <v>16.3</v>
      </c>
      <c r="BX29">
        <v>9.8000000000000007</v>
      </c>
      <c r="BY29">
        <v>20663667.307459209</v>
      </c>
      <c r="BZ29">
        <v>6997291.6080409708</v>
      </c>
      <c r="CA29">
        <v>1138479.8575020381</v>
      </c>
      <c r="CB29">
        <v>28799438.773002218</v>
      </c>
      <c r="CC29">
        <v>29397000</v>
      </c>
      <c r="CD29">
        <v>597561.22699778154</v>
      </c>
      <c r="CE29">
        <v>0.71750243018034721</v>
      </c>
      <c r="CF29">
        <v>0.242966248863173</v>
      </c>
      <c r="CG29">
        <v>3.9531320956479751E-2</v>
      </c>
      <c r="CH29">
        <v>31.038847204552141</v>
      </c>
      <c r="CI29">
        <v>1052008073.821215</v>
      </c>
      <c r="CJ29">
        <v>893901379.6520704</v>
      </c>
      <c r="CK29">
        <v>31.62</v>
      </c>
      <c r="CL29">
        <v>30.457694409104281</v>
      </c>
      <c r="CM29">
        <v>33.01</v>
      </c>
      <c r="CN29">
        <v>33.159999999999997</v>
      </c>
      <c r="CO29">
        <v>32.86</v>
      </c>
      <c r="CP29">
        <v>33.97</v>
      </c>
      <c r="CQ29">
        <v>33.049108991860585</v>
      </c>
      <c r="CR29">
        <v>32.980881700039106</v>
      </c>
      <c r="CS29">
        <v>33.046532565426993</v>
      </c>
      <c r="CT29">
        <v>32.797973522856758</v>
      </c>
      <c r="CU29">
        <v>1718.5536675767505</v>
      </c>
      <c r="CV29">
        <v>1715.0058484020335</v>
      </c>
      <c r="CW29">
        <v>1718.4196934022036</v>
      </c>
      <c r="CX29">
        <v>438901322.49630868</v>
      </c>
      <c r="CY29">
        <v>359489983.50233173</v>
      </c>
      <c r="CZ29">
        <v>643638127.6120863</v>
      </c>
      <c r="DA29">
        <v>116269211.31913197</v>
      </c>
      <c r="DB29">
        <v>971544657.03372562</v>
      </c>
      <c r="DC29">
        <v>1397543592.3684208</v>
      </c>
      <c r="DD29">
        <v>475759194.8214637</v>
      </c>
      <c r="DE29">
        <v>50520322165.753731</v>
      </c>
      <c r="DF29">
        <v>72672266803.157883</v>
      </c>
      <c r="DG29">
        <v>24739478130.716114</v>
      </c>
      <c r="DH29">
        <v>1718.5536675767503</v>
      </c>
      <c r="DI29">
        <v>1715.0058484020335</v>
      </c>
      <c r="DJ29">
        <v>1718.4196934022036</v>
      </c>
      <c r="DK29">
        <v>34.500156081377916</v>
      </c>
      <c r="DL29">
        <v>23.983825972031767</v>
      </c>
      <c r="DM29">
        <v>70.452537066090002</v>
      </c>
      <c r="DN29">
        <v>0.58848661875880048</v>
      </c>
      <c r="DO29">
        <v>3.5004120220752468</v>
      </c>
      <c r="DP29">
        <v>0.58848661875880048</v>
      </c>
      <c r="DQ29">
        <v>0.58848661875880048</v>
      </c>
      <c r="DR29">
        <v>3.172516548219166</v>
      </c>
      <c r="DS29">
        <v>0.79639313060788941</v>
      </c>
      <c r="DT29">
        <v>2.3954856928998831</v>
      </c>
      <c r="DU29">
        <v>3.172516548219166</v>
      </c>
      <c r="DV29">
        <v>20.805405976717793</v>
      </c>
      <c r="DW29">
        <v>12.243703015142792</v>
      </c>
      <c r="DX29">
        <v>18.359501123720374</v>
      </c>
      <c r="DY29">
        <v>14.621380576318732</v>
      </c>
      <c r="DZ29">
        <v>7.9200482930454248</v>
      </c>
      <c r="EA29">
        <v>25.126484272381568</v>
      </c>
      <c r="EB29">
        <v>8.5291089918605856</v>
      </c>
      <c r="EC29">
        <v>12.430881700039105</v>
      </c>
      <c r="ED29">
        <v>23.616532565426994</v>
      </c>
      <c r="EE29">
        <v>34.784294420312342</v>
      </c>
      <c r="EF29">
        <v>60.490908516005369</v>
      </c>
      <c r="EG29">
        <v>250.44043017419932</v>
      </c>
      <c r="EH29">
        <v>15.098538249426404</v>
      </c>
      <c r="EI29">
        <v>13.351100916265347</v>
      </c>
      <c r="EJ29">
        <v>15.65468599775064</v>
      </c>
      <c r="EK29">
        <v>107.8</v>
      </c>
      <c r="EL29">
        <v>3.1246235450565685</v>
      </c>
      <c r="EM29">
        <v>4.4946957222633577</v>
      </c>
      <c r="EN29">
        <v>1.5301081336343523</v>
      </c>
      <c r="EO29">
        <v>2.8985376113697298E-2</v>
      </c>
      <c r="EP29">
        <v>4.1694765512647107E-2</v>
      </c>
      <c r="EQ29">
        <v>1.4193953002173954E-2</v>
      </c>
      <c r="ER29">
        <v>0.43763680992666909</v>
      </c>
      <c r="ES29">
        <v>0.55667102203937158</v>
      </c>
      <c r="ET29">
        <v>0.22220187731586327</v>
      </c>
      <c r="EU29">
        <v>752.10234476606627</v>
      </c>
      <c r="EV29">
        <v>954.69405843345953</v>
      </c>
      <c r="EW29">
        <v>381.83608189051984</v>
      </c>
      <c r="EX29">
        <v>406423</v>
      </c>
      <c r="EY29">
        <v>53403</v>
      </c>
      <c r="EZ29">
        <v>353020</v>
      </c>
      <c r="FA29">
        <v>160.22184703084437</v>
      </c>
      <c r="FB29">
        <v>161.74475424931046</v>
      </c>
      <c r="FC29">
        <v>84.850758469485285</v>
      </c>
      <c r="FD29">
        <v>88.658240515154176</v>
      </c>
      <c r="FE29">
        <v>86.200075617789736</v>
      </c>
      <c r="FF29">
        <v>137.20787525000176</v>
      </c>
      <c r="FG29">
        <v>95.5538886302771</v>
      </c>
      <c r="FH29">
        <v>154.53979784469198</v>
      </c>
      <c r="FI29">
        <v>104.49908883224725</v>
      </c>
      <c r="FJ29">
        <v>62.530124573757959</v>
      </c>
      <c r="FK29">
        <v>106.47165110766241</v>
      </c>
      <c r="FL29">
        <v>157.06500309123618</v>
      </c>
      <c r="FM29">
        <v>89.340638071631986</v>
      </c>
      <c r="FN29">
        <v>85.05747862896294</v>
      </c>
      <c r="FO29">
        <v>87.389723635503728</v>
      </c>
      <c r="FP29">
        <v>142.55864714850463</v>
      </c>
      <c r="FQ29">
        <v>102.32923199253152</v>
      </c>
      <c r="FR29">
        <v>160.66306758442053</v>
      </c>
      <c r="FS29">
        <v>95.184913062089379</v>
      </c>
      <c r="FT29">
        <v>72.314611402205372</v>
      </c>
      <c r="FU29">
        <v>109.62672493325263</v>
      </c>
      <c r="FV29">
        <v>144.51802475095386</v>
      </c>
      <c r="FW29">
        <v>83.987786776727731</v>
      </c>
      <c r="FX29">
        <v>89.513659680732331</v>
      </c>
      <c r="FY29">
        <v>88.100593349578773</v>
      </c>
      <c r="FZ29">
        <v>124.33721792985193</v>
      </c>
      <c r="GA29">
        <v>97.456963735027742</v>
      </c>
      <c r="GB29">
        <v>141.16037869928439</v>
      </c>
      <c r="GC29">
        <v>106.60481149676629</v>
      </c>
      <c r="GD29">
        <v>84.104460703087597</v>
      </c>
      <c r="GE29">
        <v>119.14874113334</v>
      </c>
      <c r="GF29">
        <v>107.8</v>
      </c>
      <c r="GG29">
        <v>172.20447284345047</v>
      </c>
      <c r="GH29">
        <v>160.22184703084437</v>
      </c>
      <c r="GI29">
        <v>406423</v>
      </c>
      <c r="GJ29">
        <v>168.55212627423006</v>
      </c>
      <c r="GK29">
        <v>106.10914938712827</v>
      </c>
      <c r="GL29">
        <v>40.5472646255662</v>
      </c>
      <c r="GM29">
        <v>90.141523756670651</v>
      </c>
      <c r="GN29">
        <v>104.19340885054605</v>
      </c>
      <c r="GO29">
        <v>128.46441947565543</v>
      </c>
    </row>
    <row r="30" spans="1:197" x14ac:dyDescent="0.35">
      <c r="A30">
        <v>2020</v>
      </c>
      <c r="B30">
        <v>1126046000000</v>
      </c>
      <c r="C30">
        <v>113.6</v>
      </c>
      <c r="D30">
        <v>1.1359999999999999</v>
      </c>
      <c r="E30">
        <v>9912376760.5633812</v>
      </c>
      <c r="F30">
        <v>991237676056.33813</v>
      </c>
      <c r="G30">
        <v>81920000000</v>
      </c>
      <c r="H30">
        <v>10405000000</v>
      </c>
      <c r="I30">
        <v>396829000000</v>
      </c>
      <c r="J30">
        <v>145517000000</v>
      </c>
      <c r="K30">
        <v>109.2</v>
      </c>
      <c r="L30">
        <v>1.0920000000000001</v>
      </c>
      <c r="M30">
        <v>750183150.18315017</v>
      </c>
      <c r="N30">
        <v>3633965201.4652014</v>
      </c>
      <c r="O30">
        <v>3633965201.4652014</v>
      </c>
      <c r="P30">
        <v>75018315018.315018</v>
      </c>
      <c r="Q30">
        <v>9528388278.3882771</v>
      </c>
      <c r="R30">
        <v>363396520146.52014</v>
      </c>
      <c r="S30">
        <v>447943223443.22345</v>
      </c>
      <c r="T30">
        <v>1332573260.0732601</v>
      </c>
      <c r="U30">
        <v>133257326007.326</v>
      </c>
      <c r="V30">
        <v>1572438225506.8875</v>
      </c>
      <c r="W30">
        <v>1760717000000</v>
      </c>
      <c r="X30">
        <v>99.225200000000001</v>
      </c>
      <c r="Y30">
        <v>0.99225200000000002</v>
      </c>
      <c r="Z30">
        <v>1774465559152.312</v>
      </c>
      <c r="AA30">
        <v>0.29399999999999998</v>
      </c>
      <c r="AB30">
        <v>0.35499999999999998</v>
      </c>
      <c r="AC30">
        <v>0.64900000000000002</v>
      </c>
      <c r="AD30">
        <v>0.25267231754966213</v>
      </c>
      <c r="AE30">
        <v>0.90167231754966215</v>
      </c>
      <c r="AF30">
        <v>9.832768245033785E-2</v>
      </c>
      <c r="AG30">
        <v>2002000</v>
      </c>
      <c r="AH30">
        <v>26981000</v>
      </c>
      <c r="AI30">
        <v>28983000</v>
      </c>
      <c r="AJ30">
        <v>0.16755175</v>
      </c>
      <c r="AK30">
        <v>4520713.7667500004</v>
      </c>
      <c r="AL30">
        <v>0.83244825</v>
      </c>
      <c r="AM30">
        <v>22460286.23325</v>
      </c>
      <c r="AN30">
        <v>0.50173160100000003</v>
      </c>
      <c r="AO30">
        <v>11269035.370726783</v>
      </c>
      <c r="AP30">
        <v>11191250.862523217</v>
      </c>
      <c r="AQ30">
        <v>497.31899297047681</v>
      </c>
      <c r="AR30">
        <v>0.72573839600000001</v>
      </c>
      <c r="AS30">
        <v>3280855.5578562636</v>
      </c>
      <c r="AT30">
        <v>1239858.2088937371</v>
      </c>
      <c r="AU30">
        <v>14549890.928583046</v>
      </c>
      <c r="AV30">
        <v>12431109.071416954</v>
      </c>
      <c r="AW30">
        <v>84844852669.962784</v>
      </c>
      <c r="AX30">
        <v>48412473337.36322</v>
      </c>
      <c r="AY30">
        <v>291423876760.56342</v>
      </c>
      <c r="AZ30">
        <v>351889375000</v>
      </c>
      <c r="BA30">
        <v>250458320851.6962</v>
      </c>
      <c r="BB30">
        <v>893771572612.25964</v>
      </c>
      <c r="BC30">
        <v>991237676056.33813</v>
      </c>
      <c r="BD30">
        <v>0.90167231754966215</v>
      </c>
      <c r="BE30">
        <v>0.90167231754966215</v>
      </c>
      <c r="BF30">
        <v>6251382.9699999997</v>
      </c>
      <c r="BG30">
        <v>991237676056.33813</v>
      </c>
      <c r="BH30">
        <v>893771572612.25964</v>
      </c>
      <c r="BI30">
        <v>376268729430.52618</v>
      </c>
      <c r="BJ30">
        <v>34200.658180876315</v>
      </c>
      <c r="BK30">
        <v>30837.786723674555</v>
      </c>
      <c r="BL30">
        <v>25860.587634464791</v>
      </c>
      <c r="BM30">
        <v>657.70496501685216</v>
      </c>
      <c r="BN30">
        <v>593.03436007066455</v>
      </c>
      <c r="BO30">
        <v>497.31899297047676</v>
      </c>
      <c r="BP30">
        <v>581200549450.54944</v>
      </c>
      <c r="BQ30">
        <v>581200549450.54932</v>
      </c>
      <c r="BR30">
        <v>678666652894.62781</v>
      </c>
      <c r="BS30">
        <v>1196169496076.3613</v>
      </c>
      <c r="BT30">
        <v>848245071780.58667</v>
      </c>
      <c r="BU30">
        <v>1098703392632.2828</v>
      </c>
      <c r="BV30">
        <v>33.700000000000003</v>
      </c>
      <c r="BW30">
        <v>14</v>
      </c>
      <c r="BX30">
        <v>9.4</v>
      </c>
      <c r="BY30">
        <v>20992731.071759075</v>
      </c>
      <c r="BZ30">
        <v>6766720.1548078461</v>
      </c>
      <c r="CA30">
        <v>1119590.2424833607</v>
      </c>
      <c r="CB30">
        <v>28879041.469050281</v>
      </c>
      <c r="CC30">
        <v>28983000</v>
      </c>
      <c r="CD30">
        <v>103958.53094971925</v>
      </c>
      <c r="CE30">
        <v>0.7269192467574459</v>
      </c>
      <c r="CF30">
        <v>0.23431249136366772</v>
      </c>
      <c r="CG30">
        <v>3.8768261878886372E-2</v>
      </c>
      <c r="CH30">
        <v>28.141975156478811</v>
      </c>
      <c r="CI30">
        <v>947001554.93862391</v>
      </c>
      <c r="CJ30">
        <v>812713267.56493437</v>
      </c>
      <c r="CK30">
        <v>31.78</v>
      </c>
      <c r="CL30">
        <v>24.50395031295762</v>
      </c>
      <c r="CM30">
        <v>32.68</v>
      </c>
      <c r="CN30">
        <v>31.89</v>
      </c>
      <c r="CO30">
        <v>33.03</v>
      </c>
      <c r="CP30">
        <v>34.89</v>
      </c>
      <c r="CQ30">
        <v>32.599731478537514</v>
      </c>
      <c r="CR30">
        <v>32.560104828180208</v>
      </c>
      <c r="CS30">
        <v>32.501862864578953</v>
      </c>
      <c r="CT30">
        <v>33.016394911138967</v>
      </c>
      <c r="CU30">
        <v>1695.1860368839507</v>
      </c>
      <c r="CV30">
        <v>1693.1254510653707</v>
      </c>
      <c r="CW30">
        <v>1690.0968689581055</v>
      </c>
      <c r="CX30">
        <v>439984878.6221264</v>
      </c>
      <c r="CY30">
        <v>368272075.91535127</v>
      </c>
      <c r="CZ30">
        <v>636423776.05686569</v>
      </c>
      <c r="DA30">
        <v>104626483.74003625</v>
      </c>
      <c r="DB30">
        <v>944838017.44245279</v>
      </c>
      <c r="DC30">
        <v>1348447732.731025</v>
      </c>
      <c r="DD30">
        <v>472898559.65538752</v>
      </c>
      <c r="DE30">
        <v>49131576907.007545</v>
      </c>
      <c r="DF30">
        <v>70119282102.013306</v>
      </c>
      <c r="DG30">
        <v>24590725102.080151</v>
      </c>
      <c r="DH30">
        <v>1695.1860368839507</v>
      </c>
      <c r="DI30">
        <v>1693.1254510653712</v>
      </c>
      <c r="DJ30">
        <v>1690.0968689581057</v>
      </c>
      <c r="DK30">
        <v>32.004635806480977</v>
      </c>
      <c r="DL30">
        <v>22.425190024324831</v>
      </c>
      <c r="DM30">
        <v>63.944361907972919</v>
      </c>
      <c r="DN30">
        <v>0.58633823500622884</v>
      </c>
      <c r="DO30">
        <v>3.1790297798244769</v>
      </c>
      <c r="DP30">
        <v>0.58633823500622895</v>
      </c>
      <c r="DQ30">
        <v>0.58633823500622895</v>
      </c>
      <c r="DR30">
        <v>2.9199965521853075</v>
      </c>
      <c r="DS30">
        <v>0.75932897587138892</v>
      </c>
      <c r="DT30">
        <v>2.2543597313132704</v>
      </c>
      <c r="DU30">
        <v>2.9199965521853075</v>
      </c>
      <c r="DV30">
        <v>20.550303055898738</v>
      </c>
      <c r="DW30">
        <v>12.049428422638776</v>
      </c>
      <c r="DX30">
        <v>18.507115653030901</v>
      </c>
      <c r="DY30">
        <v>14.052989175149307</v>
      </c>
      <c r="DZ30">
        <v>8.2912988396532938</v>
      </c>
      <c r="EA30">
        <v>24.21056402492566</v>
      </c>
      <c r="EB30">
        <v>8.0797314785375143</v>
      </c>
      <c r="EC30">
        <v>12.010104828180207</v>
      </c>
      <c r="ED30">
        <v>23.071862864578954</v>
      </c>
      <c r="EE30">
        <v>32.951596568260662</v>
      </c>
      <c r="EF30">
        <v>58.443332497227289</v>
      </c>
      <c r="EG30">
        <v>244.66450545682878</v>
      </c>
      <c r="EH30">
        <v>14.136449295277043</v>
      </c>
      <c r="EI30">
        <v>12.74644499799574</v>
      </c>
      <c r="EJ30">
        <v>15.301245809896727</v>
      </c>
      <c r="EK30">
        <v>108.7</v>
      </c>
      <c r="EL30">
        <v>3.3963829695568077</v>
      </c>
      <c r="EM30">
        <v>4.8472275990567759</v>
      </c>
      <c r="EN30">
        <v>1.699915313197405</v>
      </c>
      <c r="EO30">
        <v>3.1245473500982592E-2</v>
      </c>
      <c r="EP30">
        <v>4.4592710202914214E-2</v>
      </c>
      <c r="EQ30">
        <v>1.5638595337602621E-2</v>
      </c>
      <c r="ER30">
        <v>0.44170005185356287</v>
      </c>
      <c r="ES30">
        <v>0.56839852791300949</v>
      </c>
      <c r="ET30">
        <v>0.23928999138216261</v>
      </c>
      <c r="EU30">
        <v>748.76376039307672</v>
      </c>
      <c r="EV30">
        <v>962.37001395760717</v>
      </c>
      <c r="EW30">
        <v>404.42326520800515</v>
      </c>
      <c r="EX30">
        <v>362657</v>
      </c>
      <c r="EY30">
        <v>54512</v>
      </c>
      <c r="EZ30">
        <v>308145</v>
      </c>
      <c r="FA30">
        <v>139.85485540003268</v>
      </c>
      <c r="FB30">
        <v>150.04517490145795</v>
      </c>
      <c r="FC30">
        <v>83.810371353583761</v>
      </c>
      <c r="FD30">
        <v>87.251473009694251</v>
      </c>
      <c r="FE30">
        <v>85.027990293525065</v>
      </c>
      <c r="FF30">
        <v>125.72247005078691</v>
      </c>
      <c r="FG30">
        <v>96.441059356673108</v>
      </c>
      <c r="FH30">
        <v>144.69241858011304</v>
      </c>
      <c r="FI30">
        <v>104.11759478047216</v>
      </c>
      <c r="FJ30">
        <v>59.235568024468577</v>
      </c>
      <c r="FK30">
        <v>115.73186252621419</v>
      </c>
      <c r="FL30">
        <v>146.85782596152478</v>
      </c>
      <c r="FM30">
        <v>90.058956949055485</v>
      </c>
      <c r="FN30">
        <v>81.750955061950577</v>
      </c>
      <c r="FO30">
        <v>86.27478756804507</v>
      </c>
      <c r="FP30">
        <v>133.19686178660891</v>
      </c>
      <c r="FQ30">
        <v>104.48502351342086</v>
      </c>
      <c r="FR30">
        <v>153.38682308057449</v>
      </c>
      <c r="FS30">
        <v>90.755005004468728</v>
      </c>
      <c r="FT30">
        <v>69.866811100524757</v>
      </c>
      <c r="FU30">
        <v>118.22506339162868</v>
      </c>
      <c r="FV30">
        <v>131.16792186250854</v>
      </c>
      <c r="FW30">
        <v>87.924696072675445</v>
      </c>
      <c r="FX30">
        <v>86.250673405506447</v>
      </c>
      <c r="FY30">
        <v>86.648528031402179</v>
      </c>
      <c r="FZ30">
        <v>119.52697619782415</v>
      </c>
      <c r="GA30">
        <v>104.95175060621168</v>
      </c>
      <c r="GB30">
        <v>137.97336167625542</v>
      </c>
      <c r="GC30">
        <v>98.119482526153163</v>
      </c>
      <c r="GD30">
        <v>82.164753791235583</v>
      </c>
      <c r="GE30">
        <v>132.37153972881211</v>
      </c>
      <c r="GF30">
        <v>108.7</v>
      </c>
      <c r="GG30">
        <v>173.64217252396165</v>
      </c>
      <c r="GH30">
        <v>139.85485540003299</v>
      </c>
      <c r="GI30">
        <v>362657</v>
      </c>
      <c r="GJ30">
        <v>150.40144986438625</v>
      </c>
      <c r="GK30">
        <v>99.309750074921013</v>
      </c>
      <c r="GL30">
        <v>37.790697792982691</v>
      </c>
      <c r="GM30">
        <v>85.437816217551315</v>
      </c>
      <c r="GN30">
        <v>99.197369535350418</v>
      </c>
      <c r="GO30">
        <v>120.74829931972788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4CE5-4832-4E43-B981-B3B8DD6F83E8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Derive Indicators</vt:lpstr>
      <vt:lpstr>Full Matrix for regression</vt:lpstr>
      <vt:lpstr>Sheet3</vt:lpstr>
    </vt:vector>
  </TitlesOfParts>
  <Company>Edinburgh Napier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Papagiannaki, Eleni</dc:creator>
  <cp:lastModifiedBy>Papagiannaki, Eleni</cp:lastModifiedBy>
  <dcterms:created xsi:type="dcterms:W3CDTF">2025-09-08T10:08:34Z</dcterms:created>
  <dcterms:modified xsi:type="dcterms:W3CDTF">2025-09-08T10:10:34Z</dcterms:modified>
</cp:coreProperties>
</file>